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2" windowWidth="9420" windowHeight="4500" tabRatio="560" activeTab="1"/>
  </bookViews>
  <sheets>
    <sheet name="mod I 9 aprile 08 (A)" sheetId="1" r:id="rId1"/>
    <sheet name="mod I 16 giugno 08 (B)" sheetId="2" r:id="rId2"/>
    <sheet name="mod I 30 giugno 08 (A)" sheetId="3" r:id="rId3"/>
  </sheets>
  <definedNames>
    <definedName name="_xlnm.Print_Area" localSheetId="1">'mod I 16 giugno 08 (B)'!$A$1:$K$192</definedName>
    <definedName name="_xlnm.Print_Area" localSheetId="2">'mod I 30 giugno 08 (A)'!$A$1:$K$168</definedName>
    <definedName name="_xlnm.Print_Area" localSheetId="0">'mod I 9 aprile 08 (A)'!$A$1:$J$158</definedName>
  </definedNames>
  <calcPr fullCalcOnLoad="1"/>
</workbook>
</file>

<file path=xl/comments1.xml><?xml version="1.0" encoding="utf-8"?>
<comments xmlns="http://schemas.openxmlformats.org/spreadsheetml/2006/main">
  <authors>
    <author>184481</author>
    <author>UNIPG</author>
  </authors>
  <commentList>
    <comment ref="G78" authorId="0">
      <text>
        <r>
          <rPr>
            <sz val="18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C86" authorId="0">
      <text>
        <r>
          <rPr>
            <b/>
            <sz val="8"/>
            <rFont val="Tahoma"/>
            <family val="0"/>
          </rPr>
          <t>LA MODALITA' CHE PRESENTA LA FREQUENZA PIU' ELEVATA</t>
        </r>
      </text>
    </comment>
    <comment ref="F122" authorId="1">
      <text>
        <r>
          <rPr>
            <b/>
            <sz val="10"/>
            <rFont val="Tahoma"/>
            <family val="2"/>
          </rPr>
          <t>DEVIANZA RESIDUA</t>
        </r>
      </text>
    </comment>
    <comment ref="G122" authorId="1">
      <text>
        <r>
          <rPr>
            <b/>
            <sz val="10"/>
            <rFont val="Tahoma"/>
            <family val="2"/>
          </rPr>
          <t>DEVIANZA TOTALE</t>
        </r>
      </text>
    </comment>
  </commentList>
</comments>
</file>

<file path=xl/comments2.xml><?xml version="1.0" encoding="utf-8"?>
<comments xmlns="http://schemas.openxmlformats.org/spreadsheetml/2006/main">
  <authors>
    <author>184481</author>
  </authors>
  <commentList>
    <comment ref="E87" authorId="0">
      <text>
        <r>
          <rPr>
            <b/>
            <sz val="8"/>
            <rFont val="Tahoma"/>
            <family val="0"/>
          </rPr>
          <t>VALORI ORDINATI</t>
        </r>
      </text>
    </comment>
  </commentList>
</comments>
</file>

<file path=xl/comments3.xml><?xml version="1.0" encoding="utf-8"?>
<comments xmlns="http://schemas.openxmlformats.org/spreadsheetml/2006/main">
  <authors>
    <author>UNIPG</author>
  </authors>
  <commentList>
    <comment ref="E134" authorId="0">
      <text>
        <r>
          <rPr>
            <b/>
            <sz val="8"/>
            <rFont val="Tahoma"/>
            <family val="0"/>
          </rPr>
          <t>COVARIANZA</t>
        </r>
      </text>
    </comment>
    <comment ref="E133" authorId="0">
      <text>
        <r>
          <rPr>
            <b/>
            <sz val="8"/>
            <rFont val="Tahoma"/>
            <family val="0"/>
          </rPr>
          <t>DEVIANZA DI Y</t>
        </r>
      </text>
    </comment>
    <comment ref="E132" authorId="0">
      <text>
        <r>
          <rPr>
            <b/>
            <sz val="8"/>
            <rFont val="Tahoma"/>
            <family val="0"/>
          </rPr>
          <t>DEVIANZA DI X</t>
        </r>
      </text>
    </comment>
    <comment ref="D122" authorId="0">
      <text>
        <r>
          <rPr>
            <b/>
            <sz val="8"/>
            <rFont val="Tahoma"/>
            <family val="0"/>
          </rPr>
          <t xml:space="preserve">TRASLAZIONE
</t>
        </r>
      </text>
    </comment>
  </commentList>
</comments>
</file>

<file path=xl/sharedStrings.xml><?xml version="1.0" encoding="utf-8"?>
<sst xmlns="http://schemas.openxmlformats.org/spreadsheetml/2006/main" count="353" uniqueCount="232">
  <si>
    <t>Classi di fatturato</t>
  </si>
  <si>
    <t>0-50</t>
  </si>
  <si>
    <t>50-200</t>
  </si>
  <si>
    <t>200-500</t>
  </si>
  <si>
    <t>500-1000</t>
  </si>
  <si>
    <t>1000-2000</t>
  </si>
  <si>
    <t>Alimentare</t>
  </si>
  <si>
    <t>Abbigliamento</t>
  </si>
  <si>
    <t>Totale</t>
  </si>
  <si>
    <t>0-20</t>
  </si>
  <si>
    <t>20-100</t>
  </si>
  <si>
    <t>100-500</t>
  </si>
  <si>
    <t>500 e oltre</t>
  </si>
  <si>
    <t xml:space="preserve">Anno </t>
  </si>
  <si>
    <t>Turisti stranieri</t>
  </si>
  <si>
    <t>1)</t>
  </si>
  <si>
    <t>Si calcoli il fatturato medio e lo scarto quadratico medio.</t>
  </si>
  <si>
    <t>2)</t>
  </si>
  <si>
    <t>Si calcoli la mediana.</t>
  </si>
  <si>
    <t>3)</t>
  </si>
  <si>
    <t>Si disegni l'istogramma di frequenza.</t>
  </si>
  <si>
    <t>Si costruisca la tabella delle distribuzioni condizionate percentuali del capitale sociale dato il settore merceologico.</t>
  </si>
  <si>
    <t>Fonte:</t>
  </si>
  <si>
    <t xml:space="preserve">Dal momento che le distribuzioni condizionate risultano differenti, esiste dipendenza tra il capitale sociale delle aziende e il </t>
  </si>
  <si>
    <t>settore merceologico.</t>
  </si>
  <si>
    <t>Si costruisca la serie numeri indici a base fissa con base 2000 = 100.</t>
  </si>
  <si>
    <t>Si interpoli la serie dei numeri indici a base fissa di cui al punto precedente in funzione dell'anno con una retta, utilizzando il</t>
  </si>
  <si>
    <t>metodo dei minimi quadrati.</t>
  </si>
  <si>
    <t>TOTALE</t>
  </si>
  <si>
    <t>Si misuri la bontà di adattamento della retta di regressione.</t>
  </si>
  <si>
    <t xml:space="preserve">         </t>
  </si>
  <si>
    <t xml:space="preserve">             </t>
  </si>
  <si>
    <t>4)</t>
  </si>
  <si>
    <t>Si preveda il numero di arrivi di turisti stranieri in italia nell'anno 2006.</t>
  </si>
  <si>
    <t>Anno</t>
  </si>
  <si>
    <t>Regione</t>
  </si>
  <si>
    <t>Numero emittenti</t>
  </si>
  <si>
    <t>Piemonte</t>
  </si>
  <si>
    <t>Lombardia</t>
  </si>
  <si>
    <t>Emilia Romagna</t>
  </si>
  <si>
    <t>Toscana</t>
  </si>
  <si>
    <t>Lazio</t>
  </si>
  <si>
    <t>Sicilia</t>
  </si>
  <si>
    <t>Età</t>
  </si>
  <si>
    <t>Costo</t>
  </si>
  <si>
    <t>Si ricavi la serie dei numeri indici a base fissa con base 2000 = 100.</t>
  </si>
  <si>
    <t>NOTE:</t>
  </si>
  <si>
    <t>b) Le variazioni percentuali si calcolano sugli indici a base mobile.</t>
  </si>
  <si>
    <t>-</t>
  </si>
  <si>
    <t>Si costruisca la serie delle variazioni percentuali.</t>
  </si>
  <si>
    <t>Si determini la variazione media relativa dal 2001 al 2004.</t>
  </si>
  <si>
    <t>Sapendo che nel 2000 il numero di biglietti venduti è stato pari a 61526, si ricostruisca la serie originaria per gli anni dal 2000 al 2004.</t>
  </si>
  <si>
    <t>Serie originaria</t>
  </si>
  <si>
    <t>Si calcoli l'indice di concentrazione e si disegni la curva di concentrazione.</t>
  </si>
  <si>
    <t>retta di regressione:</t>
  </si>
  <si>
    <t>i</t>
  </si>
  <si>
    <t>Rappresentare i dati su di un diagramma cartesiano e disegnare la retta di regressione.</t>
  </si>
  <si>
    <t>Calcolare la bontà di adattamento della retta di regressione.</t>
  </si>
  <si>
    <t>N. immatricolati</t>
  </si>
  <si>
    <t xml:space="preserve">    1. Si ricavi la serie dei numeri indici a base fissa con base 2003 = 100.</t>
  </si>
  <si>
    <t xml:space="preserve">    2. Si ricavi la serie dei numeri indici a base mobile.</t>
  </si>
  <si>
    <t xml:space="preserve">    3. Si calcoli la variazione media percentuale del numero di immatricolati dal 2002 al 2006.</t>
  </si>
  <si>
    <t xml:space="preserve">     ricavata sulla base di una rilevazione svolta su 300 impiegati di una grande impresa scelti in modo opportuno:</t>
  </si>
  <si>
    <t>Tipo di copertura assicurativa</t>
  </si>
  <si>
    <t>Qualifica</t>
  </si>
  <si>
    <t>Nessuna</t>
  </si>
  <si>
    <t>Base</t>
  </si>
  <si>
    <t>Funzionario</t>
  </si>
  <si>
    <t>Dirigente</t>
  </si>
  <si>
    <t>Quadro</t>
  </si>
  <si>
    <t xml:space="preserve">    1. Si ricavi la distribuzione marginale per il carattere “Tipo di copertura assicurativa” e si indichi la moda della distribuzione.</t>
  </si>
  <si>
    <t xml:space="preserve">    4. Si calcoli la percentuale di coloro che hanno una copertura assicurativa base tra i dirigenti e i quadri.</t>
  </si>
  <si>
    <t xml:space="preserve">     Sapendo che, tramite il metodo dei minimi quadrati, è stata ricavata la retta di regressione:</t>
  </si>
  <si>
    <t>Si ricavi la serie dei numeri indici a base fissa con base 2003 = 100.</t>
  </si>
  <si>
    <t>Livello di    decibel</t>
  </si>
  <si>
    <t>Elevata    copertura</t>
  </si>
  <si>
    <t>Si ricavi la serie dei numeri indici a base mobile.</t>
  </si>
  <si>
    <t>Si calcoli la variazione media percentuale del numero di immatricolati dal 2002 al 2006.</t>
  </si>
  <si>
    <t>Si ricavi la distribuzione marginale per il carattere “Tipo di copertura assicurativa” e si indichi la moda della distribuzione.</t>
  </si>
  <si>
    <t>Frequenze</t>
  </si>
  <si>
    <t>"BASE"</t>
  </si>
  <si>
    <t>totale</t>
  </si>
  <si>
    <t xml:space="preserve">QUALIFICA: dirigente  </t>
  </si>
  <si>
    <t xml:space="preserve">QUALIFICA: quadro </t>
  </si>
  <si>
    <t xml:space="preserve">     1. Si calcoli il livello di decibel previsto per ognuna delle età considerate nella distribuzione; </t>
  </si>
  <si>
    <t xml:space="preserve">     3. Si determinino i quartili della distribuzione marginale del numero di decibel.</t>
  </si>
  <si>
    <t xml:space="preserve">Si calcoli il livello di decibel previsto per ognuna delle età considerate nella distribuzione; </t>
  </si>
  <si>
    <t>Il valore assunto dall'indice denota un ottimo adattamento della retta ai punti osservati.</t>
  </si>
  <si>
    <t>Si determinino i quartili della distribuzione marginale del numero di decibel.</t>
  </si>
  <si>
    <r>
      <t>A)</t>
    </r>
    <r>
      <rPr>
        <sz val="11"/>
        <rFont val="Tahoma"/>
        <family val="2"/>
      </rPr>
      <t xml:space="preserve"> Si consideri la seguente serie storica relativa al numero di immatricolati a corsi di laurea in Matematica in Italia:</t>
    </r>
  </si>
  <si>
    <r>
      <t xml:space="preserve">B) </t>
    </r>
    <r>
      <rPr>
        <sz val="11"/>
        <rFont val="Tahoma"/>
        <family val="2"/>
      </rPr>
      <t>Si consideri la seguente distribuzione doppia di frequenza per i caratteri "Qualifica" e "Tipo di copertura assicurativa"</t>
    </r>
  </si>
  <si>
    <r>
      <t>Num. indice base fissa (</t>
    </r>
    <r>
      <rPr>
        <b/>
        <i/>
        <sz val="11"/>
        <rFont val="Tahoma"/>
        <family val="2"/>
      </rPr>
      <t>I</t>
    </r>
    <r>
      <rPr>
        <b/>
        <i/>
        <vertAlign val="subscript"/>
        <sz val="11"/>
        <rFont val="Tahoma"/>
        <family val="2"/>
      </rPr>
      <t>t</t>
    </r>
    <r>
      <rPr>
        <b/>
        <vertAlign val="subscript"/>
        <sz val="11"/>
        <rFont val="Tahoma"/>
        <family val="2"/>
      </rPr>
      <t>│2003</t>
    </r>
    <r>
      <rPr>
        <b/>
        <sz val="11"/>
        <rFont val="Tahoma"/>
        <family val="2"/>
      </rPr>
      <t>)</t>
    </r>
  </si>
  <si>
    <r>
      <t>Num. indice base mobile (</t>
    </r>
    <r>
      <rPr>
        <b/>
        <i/>
        <sz val="11"/>
        <rFont val="Tahoma"/>
        <family val="2"/>
      </rPr>
      <t>i</t>
    </r>
    <r>
      <rPr>
        <b/>
        <i/>
        <vertAlign val="subscript"/>
        <sz val="11"/>
        <rFont val="Tahoma"/>
        <family val="2"/>
      </rPr>
      <t>t</t>
    </r>
    <r>
      <rPr>
        <b/>
        <i/>
        <sz val="11"/>
        <rFont val="Tahoma"/>
        <family val="2"/>
      </rPr>
      <t xml:space="preserve"> x </t>
    </r>
    <r>
      <rPr>
        <b/>
        <sz val="11"/>
        <rFont val="Tahoma"/>
        <family val="2"/>
      </rPr>
      <t>100)</t>
    </r>
  </si>
  <si>
    <r>
      <t xml:space="preserve">variazione media </t>
    </r>
    <r>
      <rPr>
        <b/>
        <vertAlign val="subscript"/>
        <sz val="11"/>
        <rFont val="Tahoma"/>
        <family val="2"/>
      </rPr>
      <t>2002│2006</t>
    </r>
    <r>
      <rPr>
        <b/>
        <sz val="11"/>
        <rFont val="Tahoma"/>
        <family val="2"/>
      </rPr>
      <t xml:space="preserve"> = </t>
    </r>
  </si>
  <si>
    <r>
      <t xml:space="preserve">Livello di    decibel             </t>
    </r>
    <r>
      <rPr>
        <b/>
        <i/>
        <sz val="11"/>
        <rFont val="Tahoma"/>
        <family val="2"/>
      </rPr>
      <t>y</t>
    </r>
    <r>
      <rPr>
        <b/>
        <i/>
        <vertAlign val="subscript"/>
        <sz val="11"/>
        <rFont val="Tahoma"/>
        <family val="2"/>
      </rPr>
      <t>i</t>
    </r>
  </si>
  <si>
    <r>
      <t xml:space="preserve">Livello decibel previsto          </t>
    </r>
    <r>
      <rPr>
        <b/>
        <i/>
        <sz val="11"/>
        <rFont val="Tahoma"/>
        <family val="2"/>
      </rPr>
      <t>ỹ</t>
    </r>
    <r>
      <rPr>
        <b/>
        <i/>
        <vertAlign val="subscript"/>
        <sz val="11"/>
        <rFont val="Tahoma"/>
        <family val="2"/>
      </rPr>
      <t>i</t>
    </r>
  </si>
  <si>
    <r>
      <t>f</t>
    </r>
    <r>
      <rPr>
        <b/>
        <i/>
        <vertAlign val="subscript"/>
        <sz val="11"/>
        <rFont val="Tahoma"/>
        <family val="2"/>
      </rPr>
      <t>i</t>
    </r>
  </si>
  <si>
    <r>
      <t>F</t>
    </r>
    <r>
      <rPr>
        <b/>
        <i/>
        <vertAlign val="subscript"/>
        <sz val="11"/>
        <rFont val="Tahoma"/>
        <family val="2"/>
      </rPr>
      <t>i</t>
    </r>
  </si>
  <si>
    <r>
      <t xml:space="preserve">Facoltà di economia </t>
    </r>
    <r>
      <rPr>
        <sz val="16"/>
        <rFont val="Tahoma"/>
        <family val="2"/>
      </rPr>
      <t>- Esame di Statistica (Modulo I) 09 Aprile 2008</t>
    </r>
  </si>
  <si>
    <t>ESERCIZIO A</t>
  </si>
  <si>
    <t>ESERCIZIO B</t>
  </si>
  <si>
    <t>ESERCIZIO C</t>
  </si>
  <si>
    <r>
      <t>D</t>
    </r>
    <r>
      <rPr>
        <b/>
        <i/>
        <vertAlign val="subscript"/>
        <sz val="11"/>
        <rFont val="Tahoma"/>
        <family val="2"/>
      </rPr>
      <t xml:space="preserve">RL </t>
    </r>
    <r>
      <rPr>
        <b/>
        <i/>
        <sz val="11"/>
        <rFont val="Tahoma"/>
        <family val="2"/>
      </rPr>
      <t>=          ∑ (y</t>
    </r>
    <r>
      <rPr>
        <b/>
        <i/>
        <vertAlign val="subscript"/>
        <sz val="11"/>
        <rFont val="Tahoma"/>
        <family val="2"/>
      </rPr>
      <t>i</t>
    </r>
    <r>
      <rPr>
        <b/>
        <i/>
        <sz val="11"/>
        <rFont val="Tahoma"/>
        <family val="2"/>
      </rPr>
      <t xml:space="preserve"> - ỹ</t>
    </r>
    <r>
      <rPr>
        <b/>
        <i/>
        <vertAlign val="subscript"/>
        <sz val="11"/>
        <rFont val="Tahoma"/>
        <family val="2"/>
      </rPr>
      <t>i</t>
    </r>
    <r>
      <rPr>
        <b/>
        <i/>
        <sz val="11"/>
        <rFont val="Tahoma"/>
        <family val="2"/>
      </rPr>
      <t>)</t>
    </r>
    <r>
      <rPr>
        <b/>
        <i/>
        <vertAlign val="superscript"/>
        <sz val="11"/>
        <rFont val="Tahoma"/>
        <family val="2"/>
      </rPr>
      <t>2</t>
    </r>
    <r>
      <rPr>
        <b/>
        <i/>
        <sz val="11"/>
        <rFont val="Tahoma"/>
        <family val="2"/>
      </rPr>
      <t xml:space="preserve"> </t>
    </r>
  </si>
  <si>
    <t>moda:</t>
  </si>
  <si>
    <t xml:space="preserve">    2. Si ricavino le distribuzioni condizionate percentuali secondo il carattere “Tipo di copertura assicurativa” per ogni modalità </t>
  </si>
  <si>
    <t xml:space="preserve">        del carattere "Qualifica".</t>
  </si>
  <si>
    <t xml:space="preserve">        è indipendente o meno dal carattere "Qualifica".</t>
  </si>
  <si>
    <t xml:space="preserve">    3. Sulla base delle distribuzioni condizionate di cui al punto precedente si dica se il carattere “Tipo di copertura assicurativa" </t>
  </si>
  <si>
    <r>
      <t>C)</t>
    </r>
    <r>
      <rPr>
        <sz val="11"/>
        <rFont val="Tahoma"/>
        <family val="2"/>
      </rPr>
      <t xml:space="preserve"> Sulla base di uno studio sul livello ottimale di decibel del suono percepito da un individuo di sesso maschile si è ricavata la</t>
    </r>
  </si>
  <si>
    <t xml:space="preserve">     seguente distribuzione doppia disaggregata relativa ai caratteri “Età” (X) e “Livello di decibel” (Y):</t>
  </si>
  <si>
    <t xml:space="preserve">         opportunamente il risultato;</t>
  </si>
  <si>
    <t xml:space="preserve">     2. Sulla base dei risultati di cui al punto precedente si calcoli la devianza residua e l’indice di determinazione commentando </t>
  </si>
  <si>
    <t>indipendente o meno dal carattere "Qualifica".</t>
  </si>
  <si>
    <t xml:space="preserve">Sulla base delle distribuzioni condizionate di cui al punto precedente si dica se il carattere “Tipo di copertura assicurativa" è </t>
  </si>
  <si>
    <t>opportunamente il risultato;</t>
  </si>
  <si>
    <t xml:space="preserve">Sulla base dei risultati di cui al punto precedente si calcoli la devianza residua e l’indice di determinazione commentando </t>
  </si>
  <si>
    <t>carattere "Qualifica".</t>
  </si>
  <si>
    <t xml:space="preserve">Si ricavino le distribuzioni condizionate percentuali secondo il carattere “Tipo di copertura assicurativa” per ogni modalità del </t>
  </si>
  <si>
    <t xml:space="preserve">QUALIFICA:  funzionario  </t>
  </si>
  <si>
    <r>
      <t xml:space="preserve">Fatturato </t>
    </r>
    <r>
      <rPr>
        <b/>
        <i/>
        <sz val="11"/>
        <rFont val="Tahoma"/>
        <family val="2"/>
      </rPr>
      <t>T</t>
    </r>
    <r>
      <rPr>
        <b/>
        <i/>
        <vertAlign val="subscript"/>
        <sz val="11"/>
        <rFont val="Tahoma"/>
        <family val="2"/>
      </rPr>
      <t>j</t>
    </r>
  </si>
  <si>
    <r>
      <t>x</t>
    </r>
    <r>
      <rPr>
        <b/>
        <i/>
        <vertAlign val="subscript"/>
        <sz val="11"/>
        <rFont val="Tahoma"/>
        <family val="2"/>
      </rPr>
      <t>i</t>
    </r>
  </si>
  <si>
    <r>
      <t>(x</t>
    </r>
    <r>
      <rPr>
        <b/>
        <i/>
        <vertAlign val="subscript"/>
        <sz val="11"/>
        <rFont val="Tahoma"/>
        <family val="2"/>
      </rPr>
      <t>i</t>
    </r>
    <r>
      <rPr>
        <b/>
        <i/>
        <sz val="11"/>
        <rFont val="Tahoma"/>
        <family val="2"/>
      </rPr>
      <t xml:space="preserve"> - µ</t>
    </r>
    <r>
      <rPr>
        <b/>
        <i/>
        <vertAlign val="subscript"/>
        <sz val="11"/>
        <rFont val="Tahoma"/>
        <family val="2"/>
      </rPr>
      <t>x</t>
    </r>
    <r>
      <rPr>
        <b/>
        <i/>
        <sz val="11"/>
        <rFont val="Tahoma"/>
        <family val="2"/>
      </rPr>
      <t>)</t>
    </r>
    <r>
      <rPr>
        <b/>
        <i/>
        <vertAlign val="superscript"/>
        <sz val="11"/>
        <rFont val="Tahoma"/>
        <family val="2"/>
      </rPr>
      <t>2</t>
    </r>
  </si>
  <si>
    <r>
      <t>(y</t>
    </r>
    <r>
      <rPr>
        <b/>
        <i/>
        <vertAlign val="subscript"/>
        <sz val="11"/>
        <rFont val="Tahoma"/>
        <family val="2"/>
      </rPr>
      <t>i</t>
    </r>
    <r>
      <rPr>
        <b/>
        <i/>
        <sz val="11"/>
        <rFont val="Tahoma"/>
        <family val="2"/>
      </rPr>
      <t xml:space="preserve"> - µ</t>
    </r>
    <r>
      <rPr>
        <b/>
        <i/>
        <vertAlign val="subscript"/>
        <sz val="11"/>
        <rFont val="Tahoma"/>
        <family val="2"/>
      </rPr>
      <t>y</t>
    </r>
    <r>
      <rPr>
        <b/>
        <i/>
        <sz val="11"/>
        <rFont val="Tahoma"/>
        <family val="2"/>
      </rPr>
      <t>)</t>
    </r>
    <r>
      <rPr>
        <b/>
        <i/>
        <vertAlign val="superscript"/>
        <sz val="11"/>
        <rFont val="Tahoma"/>
        <family val="2"/>
      </rPr>
      <t>2</t>
    </r>
  </si>
  <si>
    <r>
      <t>(x</t>
    </r>
    <r>
      <rPr>
        <b/>
        <i/>
        <vertAlign val="subscript"/>
        <sz val="11"/>
        <rFont val="Tahoma"/>
        <family val="2"/>
      </rPr>
      <t>i</t>
    </r>
    <r>
      <rPr>
        <b/>
        <i/>
        <sz val="11"/>
        <rFont val="Tahoma"/>
        <family val="2"/>
      </rPr>
      <t xml:space="preserve"> - µ</t>
    </r>
    <r>
      <rPr>
        <b/>
        <i/>
        <vertAlign val="subscript"/>
        <sz val="11"/>
        <rFont val="Tahoma"/>
        <family val="2"/>
      </rPr>
      <t>x</t>
    </r>
    <r>
      <rPr>
        <b/>
        <i/>
        <sz val="11"/>
        <rFont val="Tahoma"/>
        <family val="2"/>
      </rPr>
      <t>) (y</t>
    </r>
    <r>
      <rPr>
        <b/>
        <i/>
        <vertAlign val="subscript"/>
        <sz val="11"/>
        <rFont val="Tahoma"/>
        <family val="2"/>
      </rPr>
      <t>i</t>
    </r>
    <r>
      <rPr>
        <b/>
        <i/>
        <sz val="11"/>
        <rFont val="Tahoma"/>
        <family val="2"/>
      </rPr>
      <t xml:space="preserve"> - µ</t>
    </r>
    <r>
      <rPr>
        <b/>
        <i/>
        <vertAlign val="subscript"/>
        <sz val="11"/>
        <rFont val="Tahoma"/>
        <family val="2"/>
      </rPr>
      <t>y</t>
    </r>
    <r>
      <rPr>
        <b/>
        <i/>
        <sz val="11"/>
        <rFont val="Tahoma"/>
        <family val="2"/>
      </rPr>
      <t xml:space="preserve">) </t>
    </r>
  </si>
  <si>
    <r>
      <t>y</t>
    </r>
    <r>
      <rPr>
        <i/>
        <vertAlign val="subscript"/>
        <sz val="11"/>
        <rFont val="Tahoma"/>
        <family val="2"/>
      </rPr>
      <t>i</t>
    </r>
  </si>
  <si>
    <r>
      <t>D</t>
    </r>
    <r>
      <rPr>
        <i/>
        <vertAlign val="subscript"/>
        <sz val="11"/>
        <rFont val="Tahoma"/>
        <family val="2"/>
      </rPr>
      <t>x</t>
    </r>
    <r>
      <rPr>
        <i/>
        <sz val="11"/>
        <rFont val="Tahoma"/>
        <family val="2"/>
      </rPr>
      <t xml:space="preserve"> =</t>
    </r>
  </si>
  <si>
    <r>
      <t>D</t>
    </r>
    <r>
      <rPr>
        <i/>
        <vertAlign val="subscript"/>
        <sz val="11"/>
        <rFont val="Tahoma"/>
        <family val="2"/>
      </rPr>
      <t>Y</t>
    </r>
    <r>
      <rPr>
        <i/>
        <sz val="11"/>
        <rFont val="Tahoma"/>
        <family val="2"/>
      </rPr>
      <t xml:space="preserve"> =</t>
    </r>
  </si>
  <si>
    <r>
      <t>C</t>
    </r>
    <r>
      <rPr>
        <i/>
        <vertAlign val="subscript"/>
        <sz val="11"/>
        <rFont val="Tahoma"/>
        <family val="2"/>
      </rPr>
      <t>xy</t>
    </r>
    <r>
      <rPr>
        <i/>
        <sz val="11"/>
        <rFont val="Tahoma"/>
        <family val="2"/>
      </rPr>
      <t xml:space="preserve"> =</t>
    </r>
  </si>
  <si>
    <r>
      <t>β</t>
    </r>
    <r>
      <rPr>
        <b/>
        <vertAlign val="subscript"/>
        <sz val="11"/>
        <rFont val="Tahoma"/>
        <family val="2"/>
      </rPr>
      <t>0</t>
    </r>
    <r>
      <rPr>
        <b/>
        <i/>
        <sz val="11"/>
        <rFont val="Tahoma"/>
        <family val="2"/>
      </rPr>
      <t xml:space="preserve"> =  µ</t>
    </r>
    <r>
      <rPr>
        <b/>
        <i/>
        <vertAlign val="subscript"/>
        <sz val="11"/>
        <rFont val="Tahoma"/>
        <family val="2"/>
      </rPr>
      <t>y</t>
    </r>
    <r>
      <rPr>
        <b/>
        <i/>
        <sz val="11"/>
        <rFont val="Tahoma"/>
        <family val="2"/>
      </rPr>
      <t xml:space="preserve"> - (β</t>
    </r>
    <r>
      <rPr>
        <b/>
        <i/>
        <vertAlign val="subscript"/>
        <sz val="11"/>
        <rFont val="Tahoma"/>
        <family val="2"/>
      </rPr>
      <t xml:space="preserve">1 </t>
    </r>
    <r>
      <rPr>
        <b/>
        <i/>
        <sz val="11"/>
        <rFont val="Tahoma"/>
        <family val="2"/>
      </rPr>
      <t>* µ</t>
    </r>
    <r>
      <rPr>
        <b/>
        <i/>
        <vertAlign val="subscript"/>
        <sz val="11"/>
        <rFont val="Tahoma"/>
        <family val="2"/>
      </rPr>
      <t>x</t>
    </r>
    <r>
      <rPr>
        <b/>
        <i/>
        <sz val="11"/>
        <rFont val="Tahoma"/>
        <family val="2"/>
      </rPr>
      <t>) =</t>
    </r>
  </si>
  <si>
    <r>
      <t xml:space="preserve">r </t>
    </r>
    <r>
      <rPr>
        <b/>
        <i/>
        <vertAlign val="superscript"/>
        <sz val="11"/>
        <rFont val="Tahoma"/>
        <family val="2"/>
      </rPr>
      <t>2</t>
    </r>
    <r>
      <rPr>
        <b/>
        <i/>
        <sz val="11"/>
        <rFont val="Tahoma"/>
        <family val="2"/>
      </rPr>
      <t xml:space="preserve"> = (C</t>
    </r>
    <r>
      <rPr>
        <b/>
        <i/>
        <vertAlign val="subscript"/>
        <sz val="11"/>
        <rFont val="Tahoma"/>
        <family val="2"/>
      </rPr>
      <t>xy</t>
    </r>
    <r>
      <rPr>
        <b/>
        <i/>
        <sz val="11"/>
        <rFont val="Tahoma"/>
        <family val="2"/>
      </rPr>
      <t>)</t>
    </r>
    <r>
      <rPr>
        <b/>
        <i/>
        <vertAlign val="superscript"/>
        <sz val="11"/>
        <rFont val="Tahoma"/>
        <family val="2"/>
      </rPr>
      <t>2</t>
    </r>
    <r>
      <rPr>
        <b/>
        <i/>
        <sz val="11"/>
        <rFont val="Tahoma"/>
        <family val="2"/>
      </rPr>
      <t xml:space="preserve"> / (D</t>
    </r>
    <r>
      <rPr>
        <b/>
        <i/>
        <vertAlign val="subscript"/>
        <sz val="11"/>
        <rFont val="Tahoma"/>
        <family val="2"/>
      </rPr>
      <t>x</t>
    </r>
    <r>
      <rPr>
        <b/>
        <i/>
        <sz val="11"/>
        <rFont val="Tahoma"/>
        <family val="2"/>
      </rPr>
      <t xml:space="preserve"> * D</t>
    </r>
    <r>
      <rPr>
        <b/>
        <i/>
        <vertAlign val="subscript"/>
        <sz val="11"/>
        <rFont val="Tahoma"/>
        <family val="2"/>
      </rPr>
      <t>y</t>
    </r>
    <r>
      <rPr>
        <b/>
        <i/>
        <sz val="11"/>
        <rFont val="Tahoma"/>
        <family val="2"/>
      </rPr>
      <t xml:space="preserve">) = </t>
    </r>
  </si>
  <si>
    <r>
      <t xml:space="preserve">Facoltà di economia </t>
    </r>
    <r>
      <rPr>
        <sz val="16"/>
        <rFont val="Tahoma"/>
        <family val="2"/>
      </rPr>
      <t>- Esame di Statistica (Modulo I) 30 giugno 2008</t>
    </r>
  </si>
  <si>
    <r>
      <t xml:space="preserve">A)  </t>
    </r>
    <r>
      <rPr>
        <sz val="11"/>
        <rFont val="Tahoma"/>
        <family val="2"/>
      </rPr>
      <t>Si consideri la seguente tabella che riporta il numero di imprese di una data provincia per classi di fatturato</t>
    </r>
  </si>
  <si>
    <r>
      <t>B)</t>
    </r>
    <r>
      <rPr>
        <sz val="11"/>
        <rFont val="Tahoma"/>
        <family val="2"/>
      </rPr>
      <t xml:space="preserve">  Si consideri la seguente distribuzione doppia di un collettivo di imprese secondo il settore merceologico e il </t>
    </r>
  </si>
  <si>
    <r>
      <t>C)</t>
    </r>
    <r>
      <rPr>
        <sz val="11"/>
        <rFont val="Tahoma"/>
        <family val="2"/>
      </rPr>
      <t xml:space="preserve">  Si consideri la seguente serie inerente gli arrivi di turisti stranieri negli esercizi ricettivi italiani dal 1999 al 2005:</t>
    </r>
  </si>
  <si>
    <t xml:space="preserve">     (in migliaia di €):</t>
  </si>
  <si>
    <t xml:space="preserve">   1. Si calcoli il fatturato medio e lo scarto quadratico medio.</t>
  </si>
  <si>
    <t xml:space="preserve">   2. Si calcoli la mediana.</t>
  </si>
  <si>
    <t xml:space="preserve">   3. Si disegni l'istogramma di frequenza.</t>
  </si>
  <si>
    <t xml:space="preserve">     capitale sociale (in migliaia di €):</t>
  </si>
  <si>
    <t xml:space="preserve">   1. Si costruisca la tabella delle distribuzioni condizionate percentuali del capitale sociale dato il settore merceologico.</t>
  </si>
  <si>
    <t xml:space="preserve">    1. Si costruisca la serie dei numeri indici a base fissa con base 2000 = 100.</t>
  </si>
  <si>
    <t xml:space="preserve">        utilizzando il metodo dei minimi quadrati.</t>
  </si>
  <si>
    <t xml:space="preserve">    2. Si interpoli la serie dei numeri indici a base fissa di cui al punto precedente in funzione dell'anno  con una retta, </t>
  </si>
  <si>
    <t xml:space="preserve">   2. In base alla tabella di cui al punto precedente si dica se esiste dipendenza tra il capitale sociale delle aziende ed il settore</t>
  </si>
  <si>
    <t xml:space="preserve">      merceiologico.</t>
  </si>
  <si>
    <t xml:space="preserve">    3. Si misuri la bontà di adattamento della retta di regressione.</t>
  </si>
  <si>
    <t xml:space="preserve">    4. Si preveda il numero di arrivi di turisti stranieri in Italia nell'anno 2006.</t>
  </si>
  <si>
    <t>Numero imprese</t>
  </si>
  <si>
    <r>
      <t xml:space="preserve">Numero imprese </t>
    </r>
    <r>
      <rPr>
        <b/>
        <i/>
        <sz val="11"/>
        <rFont val="Tahoma"/>
        <family val="2"/>
      </rPr>
      <t>n</t>
    </r>
    <r>
      <rPr>
        <b/>
        <i/>
        <vertAlign val="subscript"/>
        <sz val="11"/>
        <rFont val="Tahoma"/>
        <family val="2"/>
      </rPr>
      <t>i</t>
    </r>
  </si>
  <si>
    <r>
      <t>Deviazione standard (</t>
    </r>
    <r>
      <rPr>
        <b/>
        <i/>
        <sz val="11"/>
        <rFont val="Tahoma"/>
        <family val="2"/>
      </rPr>
      <t>σ</t>
    </r>
    <r>
      <rPr>
        <b/>
        <sz val="11"/>
        <rFont val="Tahoma"/>
        <family val="2"/>
      </rPr>
      <t>)=</t>
    </r>
  </si>
  <si>
    <r>
      <t>f</t>
    </r>
    <r>
      <rPr>
        <b/>
        <i/>
        <vertAlign val="subscript"/>
        <sz val="11"/>
        <rFont val="Tahoma"/>
        <family val="2"/>
      </rPr>
      <t>i</t>
    </r>
    <r>
      <rPr>
        <b/>
        <i/>
        <sz val="11"/>
        <rFont val="Tahoma"/>
        <family val="2"/>
      </rPr>
      <t xml:space="preserve"> =        n</t>
    </r>
    <r>
      <rPr>
        <b/>
        <i/>
        <vertAlign val="subscript"/>
        <sz val="11"/>
        <rFont val="Tahoma"/>
        <family val="2"/>
      </rPr>
      <t>i</t>
    </r>
    <r>
      <rPr>
        <b/>
        <i/>
        <sz val="11"/>
        <rFont val="Tahoma"/>
        <family val="2"/>
      </rPr>
      <t xml:space="preserve"> / N</t>
    </r>
  </si>
  <si>
    <r>
      <t xml:space="preserve">Ampiezza              </t>
    </r>
    <r>
      <rPr>
        <b/>
        <i/>
        <sz val="11"/>
        <rFont val="Tahoma"/>
        <family val="2"/>
      </rPr>
      <t>d</t>
    </r>
    <r>
      <rPr>
        <b/>
        <i/>
        <vertAlign val="subscript"/>
        <sz val="11"/>
        <rFont val="Tahoma"/>
        <family val="2"/>
      </rPr>
      <t>i</t>
    </r>
  </si>
  <si>
    <r>
      <t>Num. indice base fissa (</t>
    </r>
    <r>
      <rPr>
        <b/>
        <i/>
        <sz val="11"/>
        <rFont val="Tahoma"/>
        <family val="2"/>
      </rPr>
      <t>I</t>
    </r>
    <r>
      <rPr>
        <b/>
        <i/>
        <vertAlign val="subscript"/>
        <sz val="11"/>
        <rFont val="Tahoma"/>
        <family val="2"/>
      </rPr>
      <t>t</t>
    </r>
    <r>
      <rPr>
        <b/>
        <vertAlign val="subscript"/>
        <sz val="11"/>
        <rFont val="Tahoma"/>
        <family val="2"/>
      </rPr>
      <t>│2000</t>
    </r>
    <r>
      <rPr>
        <b/>
        <sz val="11"/>
        <rFont val="Tahoma"/>
        <family val="2"/>
      </rPr>
      <t>)</t>
    </r>
  </si>
  <si>
    <r>
      <t>v</t>
    </r>
    <r>
      <rPr>
        <b/>
        <i/>
        <vertAlign val="subscript"/>
        <sz val="11"/>
        <rFont val="Tahoma"/>
        <family val="2"/>
      </rPr>
      <t>t</t>
    </r>
    <r>
      <rPr>
        <b/>
        <i/>
        <sz val="11"/>
        <rFont val="Tahoma"/>
        <family val="2"/>
      </rPr>
      <t xml:space="preserve"> x </t>
    </r>
    <r>
      <rPr>
        <b/>
        <sz val="11"/>
        <rFont val="Tahoma"/>
        <family val="2"/>
      </rPr>
      <t>100</t>
    </r>
  </si>
  <si>
    <r>
      <t xml:space="preserve">variazione media </t>
    </r>
    <r>
      <rPr>
        <b/>
        <vertAlign val="subscript"/>
        <sz val="11"/>
        <rFont val="Tahoma"/>
        <family val="2"/>
      </rPr>
      <t>1998│2000</t>
    </r>
    <r>
      <rPr>
        <b/>
        <sz val="11"/>
        <rFont val="Tahoma"/>
        <family val="2"/>
      </rPr>
      <t xml:space="preserve"> = </t>
    </r>
  </si>
  <si>
    <r>
      <t>A</t>
    </r>
    <r>
      <rPr>
        <b/>
        <i/>
        <vertAlign val="subscript"/>
        <sz val="11"/>
        <rFont val="Tahoma"/>
        <family val="2"/>
      </rPr>
      <t>i</t>
    </r>
    <r>
      <rPr>
        <b/>
        <i/>
        <sz val="11"/>
        <rFont val="Tahoma"/>
        <family val="2"/>
      </rPr>
      <t xml:space="preserve"> = </t>
    </r>
    <r>
      <rPr>
        <b/>
        <sz val="11"/>
        <rFont val="Tahoma"/>
        <family val="2"/>
      </rPr>
      <t>∑</t>
    </r>
    <r>
      <rPr>
        <b/>
        <i/>
        <sz val="11"/>
        <rFont val="Tahoma"/>
        <family val="2"/>
      </rPr>
      <t>y</t>
    </r>
    <r>
      <rPr>
        <b/>
        <i/>
        <vertAlign val="subscript"/>
        <sz val="11"/>
        <rFont val="Tahoma"/>
        <family val="2"/>
      </rPr>
      <t>i</t>
    </r>
  </si>
  <si>
    <r>
      <t>P</t>
    </r>
    <r>
      <rPr>
        <b/>
        <i/>
        <vertAlign val="subscript"/>
        <sz val="11"/>
        <rFont val="Tahoma"/>
        <family val="2"/>
      </rPr>
      <t>i</t>
    </r>
    <r>
      <rPr>
        <b/>
        <i/>
        <sz val="11"/>
        <rFont val="Tahoma"/>
        <family val="2"/>
      </rPr>
      <t xml:space="preserve"> = i / N</t>
    </r>
  </si>
  <si>
    <r>
      <t>Q</t>
    </r>
    <r>
      <rPr>
        <b/>
        <i/>
        <vertAlign val="subscript"/>
        <sz val="11"/>
        <rFont val="Tahoma"/>
        <family val="2"/>
      </rPr>
      <t>i</t>
    </r>
    <r>
      <rPr>
        <b/>
        <i/>
        <sz val="11"/>
        <rFont val="Tahoma"/>
        <family val="2"/>
      </rPr>
      <t xml:space="preserve"> = A</t>
    </r>
    <r>
      <rPr>
        <b/>
        <i/>
        <vertAlign val="subscript"/>
        <sz val="11"/>
        <rFont val="Tahoma"/>
        <family val="2"/>
      </rPr>
      <t>i</t>
    </r>
    <r>
      <rPr>
        <b/>
        <i/>
        <sz val="11"/>
        <rFont val="Tahoma"/>
        <family val="2"/>
      </rPr>
      <t xml:space="preserve"> / A</t>
    </r>
    <r>
      <rPr>
        <b/>
        <i/>
        <vertAlign val="subscript"/>
        <sz val="11"/>
        <rFont val="Tahoma"/>
        <family val="2"/>
      </rPr>
      <t>N</t>
    </r>
  </si>
  <si>
    <r>
      <t>P</t>
    </r>
    <r>
      <rPr>
        <b/>
        <i/>
        <vertAlign val="subscript"/>
        <sz val="11"/>
        <rFont val="Tahoma"/>
        <family val="2"/>
      </rPr>
      <t>i</t>
    </r>
    <r>
      <rPr>
        <b/>
        <i/>
        <sz val="11"/>
        <rFont val="Tahoma"/>
        <family val="2"/>
      </rPr>
      <t xml:space="preserve"> - Q</t>
    </r>
    <r>
      <rPr>
        <b/>
        <i/>
        <vertAlign val="subscript"/>
        <sz val="11"/>
        <rFont val="Tahoma"/>
        <family val="2"/>
      </rPr>
      <t>i</t>
    </r>
  </si>
  <si>
    <r>
      <t>n</t>
    </r>
    <r>
      <rPr>
        <b/>
        <i/>
        <vertAlign val="subscript"/>
        <sz val="11"/>
        <rFont val="Tahoma"/>
        <family val="2"/>
      </rPr>
      <t>i</t>
    </r>
  </si>
  <si>
    <r>
      <t>f</t>
    </r>
    <r>
      <rPr>
        <vertAlign val="subscript"/>
        <sz val="11"/>
        <rFont val="Tahoma"/>
        <family val="2"/>
      </rPr>
      <t>i</t>
    </r>
  </si>
  <si>
    <r>
      <t>x</t>
    </r>
    <r>
      <rPr>
        <b/>
        <i/>
        <vertAlign val="subscript"/>
        <sz val="11"/>
        <color indexed="8"/>
        <rFont val="Tahoma"/>
        <family val="2"/>
      </rPr>
      <t>i</t>
    </r>
  </si>
  <si>
    <r>
      <t>y</t>
    </r>
    <r>
      <rPr>
        <b/>
        <i/>
        <vertAlign val="subscript"/>
        <sz val="11"/>
        <color indexed="8"/>
        <rFont val="Tahoma"/>
        <family val="2"/>
      </rPr>
      <t>i</t>
    </r>
  </si>
  <si>
    <r>
      <t>x</t>
    </r>
    <r>
      <rPr>
        <b/>
        <i/>
        <vertAlign val="subscript"/>
        <sz val="11"/>
        <color indexed="8"/>
        <rFont val="Tahoma"/>
        <family val="2"/>
      </rPr>
      <t xml:space="preserve">i </t>
    </r>
    <r>
      <rPr>
        <b/>
        <i/>
        <sz val="11"/>
        <color indexed="8"/>
        <rFont val="Tahoma"/>
        <family val="2"/>
      </rPr>
      <t>- μ</t>
    </r>
    <r>
      <rPr>
        <b/>
        <i/>
        <vertAlign val="subscript"/>
        <sz val="11"/>
        <color indexed="8"/>
        <rFont val="Tahoma"/>
        <family val="2"/>
      </rPr>
      <t>X</t>
    </r>
  </si>
  <si>
    <r>
      <t>y</t>
    </r>
    <r>
      <rPr>
        <b/>
        <i/>
        <vertAlign val="subscript"/>
        <sz val="11"/>
        <color indexed="8"/>
        <rFont val="Tahoma"/>
        <family val="2"/>
      </rPr>
      <t xml:space="preserve">i </t>
    </r>
    <r>
      <rPr>
        <b/>
        <i/>
        <sz val="11"/>
        <color indexed="8"/>
        <rFont val="Tahoma"/>
        <family val="2"/>
      </rPr>
      <t>- μ</t>
    </r>
    <r>
      <rPr>
        <b/>
        <i/>
        <vertAlign val="subscript"/>
        <sz val="11"/>
        <color indexed="8"/>
        <rFont val="Tahoma"/>
        <family val="2"/>
      </rPr>
      <t>Y</t>
    </r>
  </si>
  <si>
    <r>
      <t>(</t>
    </r>
    <r>
      <rPr>
        <b/>
        <i/>
        <sz val="11"/>
        <color indexed="8"/>
        <rFont val="Tahoma"/>
        <family val="2"/>
      </rPr>
      <t>x</t>
    </r>
    <r>
      <rPr>
        <b/>
        <i/>
        <vertAlign val="subscript"/>
        <sz val="11"/>
        <color indexed="8"/>
        <rFont val="Tahoma"/>
        <family val="2"/>
      </rPr>
      <t xml:space="preserve">i </t>
    </r>
    <r>
      <rPr>
        <b/>
        <i/>
        <sz val="11"/>
        <color indexed="8"/>
        <rFont val="Tahoma"/>
        <family val="2"/>
      </rPr>
      <t>-</t>
    </r>
    <r>
      <rPr>
        <b/>
        <sz val="11"/>
        <color indexed="8"/>
        <rFont val="Tahoma"/>
        <family val="2"/>
      </rPr>
      <t xml:space="preserve"> </t>
    </r>
    <r>
      <rPr>
        <b/>
        <i/>
        <sz val="11"/>
        <color indexed="8"/>
        <rFont val="Tahoma"/>
        <family val="2"/>
      </rPr>
      <t>μ</t>
    </r>
    <r>
      <rPr>
        <b/>
        <i/>
        <vertAlign val="subscript"/>
        <sz val="11"/>
        <color indexed="8"/>
        <rFont val="Tahoma"/>
        <family val="2"/>
      </rPr>
      <t>X</t>
    </r>
    <r>
      <rPr>
        <b/>
        <sz val="11"/>
        <color indexed="8"/>
        <rFont val="Tahoma"/>
        <family val="2"/>
      </rPr>
      <t>)</t>
    </r>
    <r>
      <rPr>
        <b/>
        <vertAlign val="superscript"/>
        <sz val="11"/>
        <color indexed="8"/>
        <rFont val="Tahoma"/>
        <family val="2"/>
      </rPr>
      <t>2</t>
    </r>
  </si>
  <si>
    <r>
      <t>(</t>
    </r>
    <r>
      <rPr>
        <b/>
        <i/>
        <sz val="11"/>
        <color indexed="8"/>
        <rFont val="Tahoma"/>
        <family val="2"/>
      </rPr>
      <t>y</t>
    </r>
    <r>
      <rPr>
        <b/>
        <i/>
        <vertAlign val="subscript"/>
        <sz val="11"/>
        <color indexed="8"/>
        <rFont val="Tahoma"/>
        <family val="2"/>
      </rPr>
      <t xml:space="preserve">i </t>
    </r>
    <r>
      <rPr>
        <b/>
        <i/>
        <sz val="11"/>
        <color indexed="8"/>
        <rFont val="Tahoma"/>
        <family val="2"/>
      </rPr>
      <t>- μ</t>
    </r>
    <r>
      <rPr>
        <b/>
        <i/>
        <vertAlign val="subscript"/>
        <sz val="11"/>
        <color indexed="8"/>
        <rFont val="Tahoma"/>
        <family val="2"/>
      </rPr>
      <t>Y</t>
    </r>
    <r>
      <rPr>
        <b/>
        <sz val="11"/>
        <color indexed="8"/>
        <rFont val="Tahoma"/>
        <family val="2"/>
      </rPr>
      <t>)</t>
    </r>
    <r>
      <rPr>
        <b/>
        <vertAlign val="superscript"/>
        <sz val="11"/>
        <color indexed="8"/>
        <rFont val="Tahoma"/>
        <family val="2"/>
      </rPr>
      <t>2</t>
    </r>
  </si>
  <si>
    <r>
      <t>μ</t>
    </r>
    <r>
      <rPr>
        <b/>
        <i/>
        <vertAlign val="subscript"/>
        <sz val="11"/>
        <rFont val="Tahoma"/>
        <family val="2"/>
      </rPr>
      <t>x</t>
    </r>
    <r>
      <rPr>
        <b/>
        <i/>
        <sz val="11"/>
        <rFont val="Tahoma"/>
        <family val="2"/>
      </rPr>
      <t xml:space="preserve"> =</t>
    </r>
  </si>
  <si>
    <r>
      <t>μ</t>
    </r>
    <r>
      <rPr>
        <b/>
        <i/>
        <vertAlign val="subscript"/>
        <sz val="11"/>
        <rFont val="Tahoma"/>
        <family val="2"/>
      </rPr>
      <t xml:space="preserve">y  </t>
    </r>
    <r>
      <rPr>
        <b/>
        <i/>
        <sz val="11"/>
        <rFont val="Tahoma"/>
        <family val="2"/>
      </rPr>
      <t>=</t>
    </r>
  </si>
  <si>
    <r>
      <t>β</t>
    </r>
    <r>
      <rPr>
        <b/>
        <vertAlign val="subscript"/>
        <sz val="11"/>
        <rFont val="Tahoma"/>
        <family val="2"/>
      </rPr>
      <t>1</t>
    </r>
    <r>
      <rPr>
        <b/>
        <i/>
        <sz val="11"/>
        <rFont val="Tahoma"/>
        <family val="2"/>
      </rPr>
      <t xml:space="preserve"> =</t>
    </r>
  </si>
  <si>
    <r>
      <t>(</t>
    </r>
    <r>
      <rPr>
        <b/>
        <i/>
        <sz val="11"/>
        <color indexed="8"/>
        <rFont val="Tahoma"/>
        <family val="2"/>
      </rPr>
      <t>x</t>
    </r>
    <r>
      <rPr>
        <b/>
        <i/>
        <vertAlign val="subscript"/>
        <sz val="11"/>
        <color indexed="8"/>
        <rFont val="Tahoma"/>
        <family val="2"/>
      </rPr>
      <t xml:space="preserve">i </t>
    </r>
    <r>
      <rPr>
        <b/>
        <i/>
        <sz val="11"/>
        <color indexed="8"/>
        <rFont val="Tahoma"/>
        <family val="2"/>
      </rPr>
      <t>- μ</t>
    </r>
    <r>
      <rPr>
        <b/>
        <i/>
        <vertAlign val="subscript"/>
        <sz val="11"/>
        <color indexed="8"/>
        <rFont val="Tahoma"/>
        <family val="2"/>
      </rPr>
      <t>X</t>
    </r>
    <r>
      <rPr>
        <b/>
        <sz val="11"/>
        <color indexed="8"/>
        <rFont val="Tahoma"/>
        <family val="2"/>
      </rPr>
      <t>)</t>
    </r>
    <r>
      <rPr>
        <b/>
        <sz val="11"/>
        <color indexed="8"/>
        <rFont val="Tahoma"/>
        <family val="2"/>
      </rPr>
      <t>(</t>
    </r>
    <r>
      <rPr>
        <b/>
        <i/>
        <sz val="11"/>
        <color indexed="8"/>
        <rFont val="Tahoma"/>
        <family val="2"/>
      </rPr>
      <t>y</t>
    </r>
    <r>
      <rPr>
        <b/>
        <i/>
        <vertAlign val="subscript"/>
        <sz val="11"/>
        <color indexed="8"/>
        <rFont val="Tahoma"/>
        <family val="2"/>
      </rPr>
      <t xml:space="preserve">i </t>
    </r>
    <r>
      <rPr>
        <b/>
        <i/>
        <sz val="11"/>
        <color indexed="8"/>
        <rFont val="Tahoma"/>
        <family val="2"/>
      </rPr>
      <t>- μ</t>
    </r>
    <r>
      <rPr>
        <b/>
        <i/>
        <vertAlign val="subscript"/>
        <sz val="11"/>
        <color indexed="8"/>
        <rFont val="Tahoma"/>
        <family val="2"/>
      </rPr>
      <t>Y</t>
    </r>
    <r>
      <rPr>
        <b/>
        <sz val="11"/>
        <color indexed="8"/>
        <rFont val="Tahoma"/>
        <family val="2"/>
      </rPr>
      <t>)</t>
    </r>
  </si>
  <si>
    <t xml:space="preserve">     1. Si ricavi la serie dei numeri indici a base fissa con base 2000 = 100.</t>
  </si>
  <si>
    <t xml:space="preserve">     2. Si costruisca la serie delle variazioni percentuali e si determini la variazione media relativa dal 2001 al 2004.</t>
  </si>
  <si>
    <r>
      <t>B)</t>
    </r>
    <r>
      <rPr>
        <sz val="11"/>
        <rFont val="Tahoma"/>
        <family val="2"/>
      </rPr>
      <t xml:space="preserve">  Si consideri la seguente tabella che contiene il numero di emittenti televisive per alcune regioni italiane nel 2004:</t>
    </r>
  </si>
  <si>
    <t xml:space="preserve">     1. Si calcoli l'indice di concentrazione e si disegni la curva di concentrazione.</t>
  </si>
  <si>
    <t xml:space="preserve">    3. Rappresentare i dati su di un diagramma cartesiano e disegnare la retta di regressione.</t>
  </si>
  <si>
    <t xml:space="preserve">    4. Calcolare la bontà di adattamento della retta di regressione.</t>
  </si>
  <si>
    <r>
      <t xml:space="preserve">Facoltà di economia </t>
    </r>
    <r>
      <rPr>
        <sz val="16"/>
        <rFont val="Tahoma"/>
        <family val="2"/>
      </rPr>
      <t>- Esame di Statistica (Modulo I) 16 Giugno 2008</t>
    </r>
  </si>
  <si>
    <t>Num. Indice a  base mobile</t>
  </si>
  <si>
    <t xml:space="preserve">      2000 al 2004:</t>
  </si>
  <si>
    <r>
      <t xml:space="preserve">A)  </t>
    </r>
    <r>
      <rPr>
        <sz val="11"/>
        <rFont val="Tahoma"/>
        <family val="2"/>
      </rPr>
      <t xml:space="preserve">Si consideri la seguente serie di numeri indici in base mobile dei biglietti venduti nei cinema dei capoluoghi di provincia italiani dal </t>
    </r>
  </si>
  <si>
    <t xml:space="preserve">         2004.</t>
  </si>
  <si>
    <t xml:space="preserve">     3. Sapendo che nel 2000 il numero di biglietti venduti è stato pari a 61526, si ricostruisca la serie originaria per gli anni dal 2000 al </t>
  </si>
  <si>
    <t xml:space="preserve">      dall'immatricolazione:</t>
  </si>
  <si>
    <r>
      <t>C)</t>
    </r>
    <r>
      <rPr>
        <sz val="11"/>
        <rFont val="Tahoma"/>
        <family val="2"/>
      </rPr>
      <t xml:space="preserve">  Una società possiede un parco di automobili aziendali per le quali registra il costo di manutenzione (in €) ed il numero di anni </t>
    </r>
  </si>
  <si>
    <t xml:space="preserve">        distribuzione delle frequenze relative.</t>
  </si>
  <si>
    <t xml:space="preserve">    1. Si calcoli la distribuzione di frequenza relativa e relativa cumulata dell'età delle automobili, e si rappresenti graficamente la</t>
  </si>
  <si>
    <t xml:space="preserve">        tipo  y = β0 + β1x  utilizzando il metodo dei minimi quadrati.</t>
  </si>
  <si>
    <t xml:space="preserve">    2. Si interpoli la distribuzione doppia disaggragata del costo di manutenzione in funzione dell'età dell'automobile con una funzione del </t>
  </si>
  <si>
    <t>Distribuzioni condizionate percentuali del capitale sociale dato il settore merceologico:</t>
  </si>
  <si>
    <r>
      <t xml:space="preserve">Numeri indici a base fissa           </t>
    </r>
    <r>
      <rPr>
        <b/>
        <i/>
        <sz val="11"/>
        <rFont val="Tahoma"/>
        <family val="2"/>
      </rPr>
      <t>I</t>
    </r>
    <r>
      <rPr>
        <b/>
        <i/>
        <vertAlign val="subscript"/>
        <sz val="11"/>
        <rFont val="Tahoma"/>
        <family val="2"/>
      </rPr>
      <t xml:space="preserve"> t|2000</t>
    </r>
  </si>
  <si>
    <r>
      <t>m = c</t>
    </r>
    <r>
      <rPr>
        <b/>
        <i/>
        <vertAlign val="subscript"/>
        <sz val="11"/>
        <rFont val="Tahoma"/>
        <family val="2"/>
      </rPr>
      <t>i-1</t>
    </r>
    <r>
      <rPr>
        <b/>
        <i/>
        <sz val="11"/>
        <rFont val="Tahoma"/>
        <family val="2"/>
      </rPr>
      <t xml:space="preserve"> + N [(0,5 - F</t>
    </r>
    <r>
      <rPr>
        <b/>
        <i/>
        <vertAlign val="subscript"/>
        <sz val="11"/>
        <rFont val="Tahoma"/>
        <family val="2"/>
      </rPr>
      <t>i-1</t>
    </r>
    <r>
      <rPr>
        <b/>
        <i/>
        <sz val="11"/>
        <rFont val="Tahoma"/>
        <family val="2"/>
      </rPr>
      <t>) / n</t>
    </r>
    <r>
      <rPr>
        <b/>
        <i/>
        <vertAlign val="subscript"/>
        <sz val="11"/>
        <rFont val="Tahoma"/>
        <family val="2"/>
      </rPr>
      <t>i</t>
    </r>
    <r>
      <rPr>
        <b/>
        <i/>
        <sz val="11"/>
        <rFont val="Tahoma"/>
        <family val="2"/>
      </rPr>
      <t>] (c</t>
    </r>
    <r>
      <rPr>
        <b/>
        <i/>
        <vertAlign val="subscript"/>
        <sz val="11"/>
        <rFont val="Tahoma"/>
        <family val="2"/>
      </rPr>
      <t>i</t>
    </r>
    <r>
      <rPr>
        <b/>
        <i/>
        <sz val="11"/>
        <rFont val="Tahoma"/>
        <family val="2"/>
      </rPr>
      <t xml:space="preserve"> - c</t>
    </r>
    <r>
      <rPr>
        <b/>
        <i/>
        <vertAlign val="subscript"/>
        <sz val="11"/>
        <rFont val="Tahoma"/>
        <family val="2"/>
      </rPr>
      <t>i-1</t>
    </r>
    <r>
      <rPr>
        <b/>
        <i/>
        <sz val="11"/>
        <rFont val="Tahoma"/>
        <family val="2"/>
      </rPr>
      <t>) =</t>
    </r>
  </si>
  <si>
    <r>
      <t>Num. indice base fissa, (</t>
    </r>
    <r>
      <rPr>
        <b/>
        <i/>
        <sz val="11"/>
        <rFont val="Tahoma"/>
        <family val="2"/>
      </rPr>
      <t>I</t>
    </r>
    <r>
      <rPr>
        <b/>
        <i/>
        <vertAlign val="subscript"/>
        <sz val="11"/>
        <rFont val="Tahoma"/>
        <family val="2"/>
      </rPr>
      <t>t</t>
    </r>
    <r>
      <rPr>
        <b/>
        <vertAlign val="subscript"/>
        <sz val="11"/>
        <rFont val="Tahoma"/>
        <family val="2"/>
      </rPr>
      <t>│2000</t>
    </r>
    <r>
      <rPr>
        <b/>
        <sz val="11"/>
        <rFont val="Tahoma"/>
        <family val="2"/>
      </rPr>
      <t>)</t>
    </r>
  </si>
  <si>
    <t>delle frequenze relative.</t>
  </si>
  <si>
    <t>Si calcoli la distribuzione di frequenza relativa e relativa cumulata dell'età delle automobili, e si rappresenti graficamente la distribuzione</t>
  </si>
  <si>
    <t>Si interpoli la distribuzione doppia disaggragata del costo di manutenzione in funzione dell'età dell'automobile con una funzione del tipo</t>
  </si>
  <si>
    <r>
      <t xml:space="preserve"> y = β</t>
    </r>
    <r>
      <rPr>
        <vertAlign val="subscript"/>
        <sz val="11"/>
        <rFont val="Tahoma"/>
        <family val="2"/>
      </rPr>
      <t>0</t>
    </r>
    <r>
      <rPr>
        <sz val="11"/>
        <rFont val="Tahoma"/>
        <family val="2"/>
      </rPr>
      <t xml:space="preserve"> + β</t>
    </r>
    <r>
      <rPr>
        <vertAlign val="subscript"/>
        <sz val="11"/>
        <rFont val="Tahoma"/>
        <family val="2"/>
      </rPr>
      <t>1</t>
    </r>
    <r>
      <rPr>
        <sz val="11"/>
        <rFont val="Tahoma"/>
        <family val="2"/>
      </rPr>
      <t>x  utilizzando il metodo dei minimi quadrati.</t>
    </r>
  </si>
  <si>
    <r>
      <t>D</t>
    </r>
    <r>
      <rPr>
        <b/>
        <i/>
        <vertAlign val="subscript"/>
        <sz val="11"/>
        <rFont val="Tahoma"/>
        <family val="2"/>
      </rPr>
      <t xml:space="preserve">y </t>
    </r>
    <r>
      <rPr>
        <b/>
        <i/>
        <sz val="11"/>
        <rFont val="Tahoma"/>
        <family val="2"/>
      </rPr>
      <t>=            ∑ (y</t>
    </r>
    <r>
      <rPr>
        <b/>
        <i/>
        <vertAlign val="subscript"/>
        <sz val="11"/>
        <rFont val="Tahoma"/>
        <family val="2"/>
      </rPr>
      <t xml:space="preserve">i - </t>
    </r>
    <r>
      <rPr>
        <b/>
        <i/>
        <sz val="11"/>
        <rFont val="Tahoma"/>
        <family val="2"/>
      </rPr>
      <t>y)</t>
    </r>
    <r>
      <rPr>
        <b/>
        <i/>
        <vertAlign val="superscript"/>
        <sz val="11"/>
        <rFont val="Tahoma"/>
        <family val="2"/>
      </rPr>
      <t>2</t>
    </r>
  </si>
  <si>
    <t>y =</t>
  </si>
  <si>
    <t>SVOLGIMENTO ESAME DI STATISTICA - MODULO I - 30/06/2008</t>
  </si>
  <si>
    <t>SVOLGIMENTO ESAME DI STATISTICA - MODULO I - 09/04/2008</t>
  </si>
  <si>
    <t>SVOLGIMENTO ESAME DI STATISTICA - MODULO I - 16/06/2008</t>
  </si>
  <si>
    <r>
      <t>N</t>
    </r>
    <r>
      <rPr>
        <b/>
        <i/>
        <vertAlign val="subscript"/>
        <sz val="11"/>
        <rFont val="Tahoma"/>
        <family val="2"/>
      </rPr>
      <t>i</t>
    </r>
  </si>
  <si>
    <t>Prima quartile:</t>
  </si>
  <si>
    <t>Terzo quartile:</t>
  </si>
  <si>
    <r>
      <t xml:space="preserve">Livello di decibel             </t>
    </r>
    <r>
      <rPr>
        <b/>
        <i/>
        <sz val="11"/>
        <rFont val="Tahoma"/>
        <family val="2"/>
      </rPr>
      <t>y</t>
    </r>
    <r>
      <rPr>
        <b/>
        <i/>
        <vertAlign val="subscript"/>
        <sz val="11"/>
        <rFont val="Tahoma"/>
        <family val="2"/>
      </rPr>
      <t>i</t>
    </r>
  </si>
  <si>
    <t>Distribuzione marginale per il carattere "Tipo di copertura assicurativa":</t>
  </si>
  <si>
    <t>Tabella di partenza:</t>
  </si>
  <si>
    <t>Si calcoli la percentuale di coloro che hanno una copertura assicurativa base tra i dirigenti e i quadri.</t>
  </si>
  <si>
    <t xml:space="preserve">Percentuale di copertura base tra dirigenti e quadri </t>
  </si>
  <si>
    <r>
      <t>INDICE DI DETERMINAZIONE (</t>
    </r>
    <r>
      <rPr>
        <b/>
        <i/>
        <sz val="11"/>
        <rFont val="Tahoma"/>
        <family val="2"/>
      </rPr>
      <t>r</t>
    </r>
    <r>
      <rPr>
        <b/>
        <sz val="11"/>
        <rFont val="Tahoma"/>
        <family val="2"/>
      </rPr>
      <t xml:space="preserve"> </t>
    </r>
    <r>
      <rPr>
        <b/>
        <vertAlign val="superscript"/>
        <sz val="11"/>
        <rFont val="Tahoma"/>
        <family val="2"/>
      </rPr>
      <t>2</t>
    </r>
    <r>
      <rPr>
        <b/>
        <sz val="11"/>
        <rFont val="Tahoma"/>
        <family val="2"/>
      </rPr>
      <t>) = 1 - (D</t>
    </r>
    <r>
      <rPr>
        <b/>
        <vertAlign val="subscript"/>
        <sz val="11"/>
        <rFont val="Tahoma"/>
        <family val="2"/>
      </rPr>
      <t>RL</t>
    </r>
    <r>
      <rPr>
        <b/>
        <sz val="11"/>
        <rFont val="Tahoma"/>
        <family val="2"/>
      </rPr>
      <t xml:space="preserve"> / Dy) =</t>
    </r>
  </si>
  <si>
    <t>a) La serie delle variazioni percentuali si ottiene sottraendo 100 ai numeri indice a base mobile.</t>
  </si>
  <si>
    <r>
      <t xml:space="preserve">G = (2 /(N - 1)) </t>
    </r>
    <r>
      <rPr>
        <b/>
        <sz val="11"/>
        <rFont val="Arial"/>
        <family val="2"/>
      </rPr>
      <t>•</t>
    </r>
    <r>
      <rPr>
        <b/>
        <sz val="11"/>
        <rFont val="Tahoma"/>
        <family val="2"/>
      </rPr>
      <t xml:space="preserve"> ∑</t>
    </r>
    <r>
      <rPr>
        <b/>
        <vertAlign val="subscript"/>
        <sz val="11"/>
        <rFont val="Tahoma"/>
        <family val="2"/>
      </rPr>
      <t xml:space="preserve">i  </t>
    </r>
    <r>
      <rPr>
        <b/>
        <sz val="11"/>
        <rFont val="Tahoma"/>
        <family val="2"/>
      </rPr>
      <t>(P</t>
    </r>
    <r>
      <rPr>
        <b/>
        <vertAlign val="subscript"/>
        <sz val="11"/>
        <rFont val="Tahoma"/>
        <family val="2"/>
      </rPr>
      <t>i</t>
    </r>
    <r>
      <rPr>
        <b/>
        <sz val="11"/>
        <rFont val="Tahoma"/>
        <family val="2"/>
      </rPr>
      <t xml:space="preserve"> - Q</t>
    </r>
    <r>
      <rPr>
        <b/>
        <vertAlign val="subscript"/>
        <sz val="11"/>
        <rFont val="Tahoma"/>
        <family val="2"/>
      </rPr>
      <t>i</t>
    </r>
    <r>
      <rPr>
        <b/>
        <sz val="11"/>
        <rFont val="Tahoma"/>
        <family val="2"/>
      </rPr>
      <t>) =</t>
    </r>
  </si>
  <si>
    <r>
      <t>y</t>
    </r>
    <r>
      <rPr>
        <b/>
        <vertAlign val="subscript"/>
        <sz val="11"/>
        <rFont val="Tahoma"/>
        <family val="2"/>
      </rPr>
      <t>teotico</t>
    </r>
    <r>
      <rPr>
        <b/>
        <sz val="11"/>
        <rFont val="Tahoma"/>
        <family val="2"/>
      </rPr>
      <t xml:space="preserve"> = 610,20 + 183,26 * x</t>
    </r>
  </si>
  <si>
    <t>Fatturato totale di classe</t>
  </si>
  <si>
    <r>
      <t>Fatturato totale di classe T</t>
    </r>
    <r>
      <rPr>
        <b/>
        <vertAlign val="subscript"/>
        <sz val="11"/>
        <rFont val="Tahoma"/>
        <family val="2"/>
      </rPr>
      <t>i</t>
    </r>
  </si>
  <si>
    <r>
      <t xml:space="preserve">Media di classe     </t>
    </r>
    <r>
      <rPr>
        <b/>
        <i/>
        <sz val="11"/>
        <rFont val="Tahoma"/>
        <family val="2"/>
      </rPr>
      <t>µ</t>
    </r>
    <r>
      <rPr>
        <b/>
        <i/>
        <vertAlign val="subscript"/>
        <sz val="11"/>
        <rFont val="Tahoma"/>
        <family val="2"/>
      </rPr>
      <t>i</t>
    </r>
    <r>
      <rPr>
        <b/>
        <i/>
        <sz val="11"/>
        <rFont val="Tahoma"/>
        <family val="2"/>
      </rPr>
      <t xml:space="preserve"> =         Ti</t>
    </r>
    <r>
      <rPr>
        <b/>
        <i/>
        <vertAlign val="subscript"/>
        <sz val="11"/>
        <rFont val="Tahoma"/>
        <family val="2"/>
      </rPr>
      <t xml:space="preserve"> </t>
    </r>
    <r>
      <rPr>
        <b/>
        <i/>
        <sz val="11"/>
        <rFont val="Tahoma"/>
        <family val="2"/>
      </rPr>
      <t>/ n</t>
    </r>
    <r>
      <rPr>
        <b/>
        <i/>
        <vertAlign val="subscript"/>
        <sz val="11"/>
        <rFont val="Tahoma"/>
        <family val="2"/>
      </rPr>
      <t>i</t>
    </r>
  </si>
  <si>
    <t>Fatturato medio (µ) =</t>
  </si>
  <si>
    <r>
      <t>(µ</t>
    </r>
    <r>
      <rPr>
        <b/>
        <i/>
        <vertAlign val="subscript"/>
        <sz val="11"/>
        <rFont val="Tahoma"/>
        <family val="2"/>
      </rPr>
      <t>i</t>
    </r>
    <r>
      <rPr>
        <b/>
        <i/>
        <sz val="11"/>
        <rFont val="Tahoma"/>
        <family val="2"/>
      </rPr>
      <t>- µ)</t>
    </r>
    <r>
      <rPr>
        <b/>
        <i/>
        <vertAlign val="superscript"/>
        <sz val="11"/>
        <rFont val="Tahoma"/>
        <family val="2"/>
      </rPr>
      <t>2</t>
    </r>
    <r>
      <rPr>
        <b/>
        <i/>
        <sz val="11"/>
        <rFont val="Tahoma"/>
        <family val="2"/>
      </rPr>
      <t>f</t>
    </r>
    <r>
      <rPr>
        <b/>
        <i/>
        <vertAlign val="subscript"/>
        <sz val="11"/>
        <rFont val="Tahoma"/>
        <family val="2"/>
      </rPr>
      <t>i</t>
    </r>
  </si>
  <si>
    <r>
      <t>H</t>
    </r>
    <r>
      <rPr>
        <b/>
        <i/>
        <vertAlign val="subscript"/>
        <sz val="11"/>
        <rFont val="Tahoma"/>
        <family val="2"/>
      </rPr>
      <t xml:space="preserve">i </t>
    </r>
    <r>
      <rPr>
        <b/>
        <i/>
        <sz val="11"/>
        <rFont val="Tahoma"/>
        <family val="2"/>
      </rPr>
      <t>= n</t>
    </r>
    <r>
      <rPr>
        <b/>
        <i/>
        <vertAlign val="subscript"/>
        <sz val="11"/>
        <rFont val="Tahoma"/>
        <family val="2"/>
      </rPr>
      <t>i</t>
    </r>
    <r>
      <rPr>
        <b/>
        <i/>
        <sz val="11"/>
        <rFont val="Tahoma"/>
        <family val="2"/>
      </rPr>
      <t xml:space="preserve"> / d</t>
    </r>
    <r>
      <rPr>
        <b/>
        <i/>
        <vertAlign val="subscript"/>
        <sz val="11"/>
        <rFont val="Tahoma"/>
        <family val="2"/>
      </rPr>
      <t>i</t>
    </r>
  </si>
  <si>
    <t xml:space="preserve">Le distribuzioni condizionate normalizzate sono tra loro diverse pertanto il carattere </t>
  </si>
  <si>
    <t>"Tipo di copertura assicurativa" dipende statisticamente dal carattere "Qualifica".</t>
  </si>
  <si>
    <r>
      <t>µ</t>
    </r>
    <r>
      <rPr>
        <b/>
        <i/>
        <vertAlign val="subscript"/>
        <sz val="11"/>
        <rFont val="Tahoma"/>
        <family val="2"/>
      </rPr>
      <t>X</t>
    </r>
    <r>
      <rPr>
        <b/>
        <i/>
        <sz val="11"/>
        <rFont val="Tahoma"/>
        <family val="2"/>
      </rPr>
      <t xml:space="preserve"> =</t>
    </r>
  </si>
  <si>
    <r>
      <t>µ</t>
    </r>
    <r>
      <rPr>
        <b/>
        <i/>
        <vertAlign val="subscript"/>
        <sz val="11"/>
        <rFont val="Tahoma"/>
        <family val="2"/>
      </rPr>
      <t>Y</t>
    </r>
    <r>
      <rPr>
        <b/>
        <i/>
        <sz val="11"/>
        <rFont val="Tahoma"/>
        <family val="2"/>
      </rPr>
      <t xml:space="preserve"> =</t>
    </r>
  </si>
  <si>
    <r>
      <t>β</t>
    </r>
    <r>
      <rPr>
        <b/>
        <vertAlign val="subscript"/>
        <sz val="11"/>
        <rFont val="Tahoma"/>
        <family val="2"/>
      </rPr>
      <t>1</t>
    </r>
    <r>
      <rPr>
        <b/>
        <i/>
        <sz val="11"/>
        <rFont val="Tahoma"/>
        <family val="2"/>
      </rPr>
      <t xml:space="preserve"> = </t>
    </r>
  </si>
  <si>
    <r>
      <t>y</t>
    </r>
    <r>
      <rPr>
        <b/>
        <sz val="11"/>
        <color indexed="8"/>
        <rFont val="Tahoma"/>
        <family val="2"/>
      </rPr>
      <t xml:space="preserve"> = 92,62 + 2,17</t>
    </r>
    <r>
      <rPr>
        <b/>
        <i/>
        <sz val="11"/>
        <color indexed="8"/>
        <rFont val="Tahoma"/>
        <family val="2"/>
      </rPr>
      <t xml:space="preserve"> x</t>
    </r>
  </si>
  <si>
    <r>
      <t>y</t>
    </r>
    <r>
      <rPr>
        <b/>
        <vertAlign val="subscript"/>
        <sz val="11"/>
        <rFont val="Tahoma"/>
        <family val="2"/>
      </rPr>
      <t>2006</t>
    </r>
    <r>
      <rPr>
        <b/>
        <sz val="11"/>
        <rFont val="Tahoma"/>
        <family val="2"/>
      </rPr>
      <t xml:space="preserve"> = β</t>
    </r>
    <r>
      <rPr>
        <b/>
        <vertAlign val="subscript"/>
        <sz val="11"/>
        <rFont val="Tahoma"/>
        <family val="2"/>
      </rPr>
      <t>0</t>
    </r>
    <r>
      <rPr>
        <b/>
        <sz val="11"/>
        <rFont val="Tahoma"/>
        <family val="2"/>
      </rPr>
      <t xml:space="preserve"> + β</t>
    </r>
    <r>
      <rPr>
        <b/>
        <vertAlign val="subscript"/>
        <sz val="11"/>
        <rFont val="Tahoma"/>
        <family val="2"/>
      </rPr>
      <t>1</t>
    </r>
    <r>
      <rPr>
        <b/>
        <sz val="11"/>
        <rFont val="Tahoma"/>
        <family val="2"/>
      </rPr>
      <t xml:space="preserve"> </t>
    </r>
    <r>
      <rPr>
        <b/>
        <sz val="11"/>
        <rFont val="Arial"/>
        <family val="2"/>
      </rPr>
      <t>•</t>
    </r>
    <r>
      <rPr>
        <b/>
        <sz val="11"/>
        <rFont val="Tahoma"/>
        <family val="2"/>
      </rPr>
      <t xml:space="preserve"> 7  =</t>
    </r>
  </si>
  <si>
    <t>Secondo quartile (mediana):</t>
  </si>
  <si>
    <r>
      <t>Q</t>
    </r>
    <r>
      <rPr>
        <b/>
        <vertAlign val="subscript"/>
        <sz val="10"/>
        <rFont val="Tahoma"/>
        <family val="2"/>
      </rPr>
      <t>1</t>
    </r>
    <r>
      <rPr>
        <b/>
        <sz val="10"/>
        <rFont val="Tahoma"/>
        <family val="2"/>
      </rPr>
      <t>=</t>
    </r>
  </si>
  <si>
    <r>
      <t>Q</t>
    </r>
    <r>
      <rPr>
        <b/>
        <vertAlign val="subscript"/>
        <sz val="10"/>
        <rFont val="Tahoma"/>
        <family val="2"/>
      </rPr>
      <t>2</t>
    </r>
    <r>
      <rPr>
        <b/>
        <sz val="10"/>
        <rFont val="Tahoma"/>
        <family val="2"/>
      </rPr>
      <t xml:space="preserve"> = m =</t>
    </r>
  </si>
  <si>
    <r>
      <t>Q</t>
    </r>
    <r>
      <rPr>
        <b/>
        <vertAlign val="subscript"/>
        <sz val="10"/>
        <rFont val="Tahoma"/>
        <family val="2"/>
      </rPr>
      <t>3</t>
    </r>
    <r>
      <rPr>
        <b/>
        <sz val="10"/>
        <rFont val="Tahoma"/>
        <family val="2"/>
      </rPr>
      <t>=</t>
    </r>
  </si>
  <si>
    <t xml:space="preserve">Classi di fatturato 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</si>
</sst>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0.00000000"/>
    <numFmt numFmtId="196" formatCode="0.0000000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0.0%"/>
    <numFmt numFmtId="201" formatCode="0.000000000"/>
    <numFmt numFmtId="202" formatCode="_-* #,##0.0_-;\-* #,##0.0_-;_-* &quot;-&quot;??_-;_-@_-"/>
    <numFmt numFmtId="203" formatCode="_-* #,##0_-;\-* #,##0_-;_-* &quot;-&quot;??_-;_-@_-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b/>
      <i/>
      <sz val="11"/>
      <name val="Tahoma"/>
      <family val="2"/>
    </font>
    <font>
      <b/>
      <i/>
      <vertAlign val="subscript"/>
      <sz val="11"/>
      <name val="Tahoma"/>
      <family val="2"/>
    </font>
    <font>
      <b/>
      <vertAlign val="subscript"/>
      <sz val="11"/>
      <name val="Tahoma"/>
      <family val="2"/>
    </font>
    <font>
      <b/>
      <i/>
      <vertAlign val="superscript"/>
      <sz val="11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b/>
      <u val="single"/>
      <sz val="12"/>
      <name val="Tahoma"/>
      <family val="2"/>
    </font>
    <font>
      <b/>
      <sz val="10"/>
      <name val="Tahoma"/>
      <family val="2"/>
    </font>
    <font>
      <i/>
      <vertAlign val="subscript"/>
      <sz val="11"/>
      <name val="Tahoma"/>
      <family val="2"/>
    </font>
    <font>
      <i/>
      <sz val="11"/>
      <name val="Tahoma"/>
      <family val="2"/>
    </font>
    <font>
      <sz val="11"/>
      <color indexed="8"/>
      <name val="Tahoma"/>
      <family val="2"/>
    </font>
    <font>
      <b/>
      <u val="single"/>
      <sz val="11"/>
      <name val="Tahoma"/>
      <family val="2"/>
    </font>
    <font>
      <vertAlign val="subscript"/>
      <sz val="11"/>
      <name val="Tahoma"/>
      <family val="2"/>
    </font>
    <font>
      <b/>
      <i/>
      <sz val="11"/>
      <color indexed="8"/>
      <name val="Tahoma"/>
      <family val="2"/>
    </font>
    <font>
      <b/>
      <i/>
      <vertAlign val="subscript"/>
      <sz val="11"/>
      <color indexed="8"/>
      <name val="Tahoma"/>
      <family val="2"/>
    </font>
    <font>
      <b/>
      <sz val="11"/>
      <color indexed="8"/>
      <name val="Tahoma"/>
      <family val="2"/>
    </font>
    <font>
      <b/>
      <vertAlign val="superscript"/>
      <sz val="11"/>
      <color indexed="8"/>
      <name val="Tahoma"/>
      <family val="2"/>
    </font>
    <font>
      <b/>
      <vertAlign val="superscript"/>
      <sz val="11"/>
      <name val="Tahoma"/>
      <family val="2"/>
    </font>
    <font>
      <b/>
      <sz val="11"/>
      <name val="Arial"/>
      <family val="2"/>
    </font>
    <font>
      <b/>
      <vertAlign val="subscript"/>
      <sz val="10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6" fillId="2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vertical="top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/>
    </xf>
    <xf numFmtId="0" fontId="7" fillId="3" borderId="0" xfId="0" applyFont="1" applyFill="1" applyAlignment="1">
      <alignment/>
    </xf>
    <xf numFmtId="0" fontId="8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2" fontId="8" fillId="3" borderId="0" xfId="0" applyNumberFormat="1" applyFont="1" applyFill="1" applyBorder="1" applyAlignment="1">
      <alignment horizontal="left"/>
    </xf>
    <xf numFmtId="0" fontId="8" fillId="3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/>
    </xf>
    <xf numFmtId="2" fontId="8" fillId="3" borderId="17" xfId="0" applyNumberFormat="1" applyFont="1" applyFill="1" applyBorder="1" applyAlignment="1">
      <alignment horizontal="center" vertical="center"/>
    </xf>
    <xf numFmtId="2" fontId="8" fillId="3" borderId="12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7" fillId="3" borderId="0" xfId="0" applyFont="1" applyFill="1" applyAlignment="1">
      <alignment horizontal="left"/>
    </xf>
    <xf numFmtId="0" fontId="10" fillId="3" borderId="0" xfId="0" applyFont="1" applyFill="1" applyAlignment="1">
      <alignment horizontal="center"/>
    </xf>
    <xf numFmtId="0" fontId="8" fillId="3" borderId="2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10" fillId="3" borderId="0" xfId="0" applyFont="1" applyFill="1" applyAlignment="1">
      <alignment horizontal="right"/>
    </xf>
    <xf numFmtId="0" fontId="8" fillId="3" borderId="12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3" fontId="9" fillId="0" borderId="28" xfId="0" applyNumberFormat="1" applyFont="1" applyBorder="1" applyAlignment="1">
      <alignment horizontal="center" vertical="center" wrapText="1"/>
    </xf>
    <xf numFmtId="3" fontId="9" fillId="0" borderId="29" xfId="0" applyNumberFormat="1" applyFont="1" applyBorder="1" applyAlignment="1">
      <alignment horizontal="center" vertical="center" wrapText="1"/>
    </xf>
    <xf numFmtId="3" fontId="9" fillId="0" borderId="3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2" borderId="0" xfId="0" applyFont="1" applyFill="1" applyAlignment="1">
      <alignment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3" borderId="3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2" fontId="8" fillId="0" borderId="0" xfId="0" applyNumberFormat="1" applyFont="1" applyAlignment="1">
      <alignment horizontal="left"/>
    </xf>
    <xf numFmtId="192" fontId="8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3" borderId="0" xfId="0" applyFont="1" applyFill="1" applyAlignment="1">
      <alignment/>
    </xf>
    <xf numFmtId="2" fontId="8" fillId="3" borderId="3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3" borderId="2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49" fontId="8" fillId="2" borderId="2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15" fillId="2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3" fontId="9" fillId="0" borderId="6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3" fontId="9" fillId="0" borderId="14" xfId="17" applyNumberFormat="1" applyFont="1" applyBorder="1" applyAlignment="1">
      <alignment horizontal="center" vertical="center" wrapText="1"/>
    </xf>
    <xf numFmtId="0" fontId="22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9" fillId="3" borderId="0" xfId="0" applyFont="1" applyFill="1" applyBorder="1" applyAlignment="1">
      <alignment/>
    </xf>
    <xf numFmtId="0" fontId="22" fillId="3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43" fontId="7" fillId="0" borderId="0" xfId="0" applyNumberFormat="1" applyFont="1" applyAlignment="1">
      <alignment/>
    </xf>
    <xf numFmtId="0" fontId="8" fillId="3" borderId="2" xfId="0" applyFont="1" applyFill="1" applyBorder="1" applyAlignment="1">
      <alignment horizontal="left" vertical="center"/>
    </xf>
    <xf numFmtId="43" fontId="8" fillId="3" borderId="2" xfId="17" applyFont="1" applyFill="1" applyBorder="1" applyAlignment="1">
      <alignment horizontal="center" vertical="center"/>
    </xf>
    <xf numFmtId="43" fontId="9" fillId="3" borderId="2" xfId="17" applyFont="1" applyFill="1" applyBorder="1" applyAlignment="1">
      <alignment vertical="center"/>
    </xf>
    <xf numFmtId="43" fontId="9" fillId="3" borderId="2" xfId="17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43" fontId="9" fillId="0" borderId="6" xfId="17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43" fontId="9" fillId="0" borderId="8" xfId="17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43" fontId="9" fillId="0" borderId="14" xfId="17" applyFont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91" fontId="9" fillId="0" borderId="0" xfId="0" applyNumberFormat="1" applyFont="1" applyAlignment="1">
      <alignment horizontal="right" vertical="center"/>
    </xf>
    <xf numFmtId="0" fontId="9" fillId="0" borderId="6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1" fillId="3" borderId="1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24" fillId="3" borderId="2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/>
    </xf>
    <xf numFmtId="0" fontId="26" fillId="3" borderId="3" xfId="0" applyFont="1" applyFill="1" applyBorder="1" applyAlignment="1">
      <alignment horizontal="center"/>
    </xf>
    <xf numFmtId="4" fontId="9" fillId="0" borderId="32" xfId="0" applyNumberFormat="1" applyFont="1" applyBorder="1" applyAlignment="1">
      <alignment horizontal="right"/>
    </xf>
    <xf numFmtId="2" fontId="21" fillId="0" borderId="32" xfId="0" applyNumberFormat="1" applyFont="1" applyFill="1" applyBorder="1" applyAlignment="1">
      <alignment horizontal="right"/>
    </xf>
    <xf numFmtId="4" fontId="21" fillId="0" borderId="32" xfId="0" applyNumberFormat="1" applyFont="1" applyFill="1" applyBorder="1" applyAlignment="1">
      <alignment horizontal="right"/>
    </xf>
    <xf numFmtId="4" fontId="21" fillId="0" borderId="3" xfId="0" applyNumberFormat="1" applyFont="1" applyFill="1" applyBorder="1" applyAlignment="1">
      <alignment horizontal="right"/>
    </xf>
    <xf numFmtId="4" fontId="9" fillId="0" borderId="33" xfId="0" applyNumberFormat="1" applyFont="1" applyBorder="1" applyAlignment="1">
      <alignment horizontal="right"/>
    </xf>
    <xf numFmtId="2" fontId="21" fillId="0" borderId="33" xfId="0" applyNumberFormat="1" applyFont="1" applyFill="1" applyBorder="1" applyAlignment="1">
      <alignment horizontal="right"/>
    </xf>
    <xf numFmtId="4" fontId="21" fillId="0" borderId="33" xfId="0" applyNumberFormat="1" applyFont="1" applyFill="1" applyBorder="1" applyAlignment="1">
      <alignment horizontal="right"/>
    </xf>
    <xf numFmtId="4" fontId="21" fillId="0" borderId="4" xfId="0" applyNumberFormat="1" applyFont="1" applyFill="1" applyBorder="1" applyAlignment="1">
      <alignment horizontal="right"/>
    </xf>
    <xf numFmtId="4" fontId="9" fillId="0" borderId="34" xfId="0" applyNumberFormat="1" applyFont="1" applyBorder="1" applyAlignment="1">
      <alignment horizontal="right"/>
    </xf>
    <xf numFmtId="2" fontId="21" fillId="0" borderId="34" xfId="0" applyNumberFormat="1" applyFont="1" applyFill="1" applyBorder="1" applyAlignment="1">
      <alignment horizontal="right"/>
    </xf>
    <xf numFmtId="4" fontId="21" fillId="0" borderId="34" xfId="0" applyNumberFormat="1" applyFont="1" applyFill="1" applyBorder="1" applyAlignment="1">
      <alignment horizontal="right"/>
    </xf>
    <xf numFmtId="4" fontId="21" fillId="0" borderId="5" xfId="0" applyNumberFormat="1" applyFont="1" applyFill="1" applyBorder="1" applyAlignment="1">
      <alignment horizontal="right"/>
    </xf>
    <xf numFmtId="4" fontId="8" fillId="3" borderId="2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2" fontId="26" fillId="3" borderId="5" xfId="0" applyNumberFormat="1" applyFont="1" applyFill="1" applyBorder="1" applyAlignment="1">
      <alignment horizontal="right"/>
    </xf>
    <xf numFmtId="4" fontId="26" fillId="3" borderId="5" xfId="0" applyNumberFormat="1" applyFont="1" applyFill="1" applyBorder="1" applyAlignment="1">
      <alignment horizontal="right"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35" xfId="0" applyFont="1" applyBorder="1" applyAlignment="1">
      <alignment horizontal="center" vertical="center"/>
    </xf>
    <xf numFmtId="3" fontId="9" fillId="0" borderId="36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3" fontId="9" fillId="0" borderId="38" xfId="0" applyNumberFormat="1" applyFont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3" fontId="9" fillId="0" borderId="38" xfId="0" applyNumberFormat="1" applyFont="1" applyFill="1" applyBorder="1" applyAlignment="1">
      <alignment horizontal="center" vertical="center"/>
    </xf>
    <xf numFmtId="3" fontId="9" fillId="0" borderId="30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/>
    </xf>
    <xf numFmtId="2" fontId="9" fillId="0" borderId="6" xfId="0" applyNumberFormat="1" applyFont="1" applyBorder="1" applyAlignment="1">
      <alignment horizontal="right"/>
    </xf>
    <xf numFmtId="2" fontId="9" fillId="0" borderId="8" xfId="0" applyNumberFormat="1" applyFont="1" applyBorder="1" applyAlignment="1">
      <alignment/>
    </xf>
    <xf numFmtId="2" fontId="9" fillId="0" borderId="8" xfId="0" applyNumberFormat="1" applyFont="1" applyBorder="1" applyAlignment="1">
      <alignment horizontal="right"/>
    </xf>
    <xf numFmtId="2" fontId="9" fillId="0" borderId="14" xfId="0" applyNumberFormat="1" applyFont="1" applyBorder="1" applyAlignment="1">
      <alignment/>
    </xf>
    <xf numFmtId="2" fontId="9" fillId="0" borderId="14" xfId="0" applyNumberFormat="1" applyFont="1" applyBorder="1" applyAlignment="1">
      <alignment horizontal="right"/>
    </xf>
    <xf numFmtId="0" fontId="9" fillId="0" borderId="2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2" fontId="9" fillId="3" borderId="29" xfId="0" applyNumberFormat="1" applyFont="1" applyFill="1" applyBorder="1" applyAlignment="1">
      <alignment horizontal="center" vertical="center"/>
    </xf>
    <xf numFmtId="2" fontId="9" fillId="3" borderId="30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1" fontId="9" fillId="3" borderId="29" xfId="0" applyNumberFormat="1" applyFont="1" applyFill="1" applyBorder="1" applyAlignment="1">
      <alignment horizontal="center" vertical="center"/>
    </xf>
    <xf numFmtId="1" fontId="9" fillId="3" borderId="30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vertical="center"/>
    </xf>
    <xf numFmtId="2" fontId="9" fillId="0" borderId="8" xfId="0" applyNumberFormat="1" applyFont="1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2" fontId="9" fillId="0" borderId="14" xfId="0" applyNumberFormat="1" applyFont="1" applyBorder="1" applyAlignment="1">
      <alignment vertic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8" fillId="2" borderId="0" xfId="0" applyFont="1" applyFill="1" applyAlignment="1">
      <alignment/>
    </xf>
    <xf numFmtId="0" fontId="9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wrapText="1"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2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 horizontal="right"/>
    </xf>
    <xf numFmtId="0" fontId="9" fillId="3" borderId="0" xfId="0" applyFont="1" applyFill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4" fontId="26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Alignment="1">
      <alignment vertical="center"/>
    </xf>
    <xf numFmtId="192" fontId="18" fillId="3" borderId="0" xfId="0" applyNumberFormat="1" applyFont="1" applyFill="1" applyAlignment="1">
      <alignment horizontal="left"/>
    </xf>
    <xf numFmtId="0" fontId="9" fillId="3" borderId="2" xfId="0" applyFont="1" applyFill="1" applyBorder="1" applyAlignment="1">
      <alignment horizontal="center" vertical="center"/>
    </xf>
    <xf numFmtId="193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2" fontId="9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193" fontId="9" fillId="0" borderId="6" xfId="0" applyNumberFormat="1" applyFont="1" applyFill="1" applyBorder="1" applyAlignment="1">
      <alignment horizontal="center" vertical="center"/>
    </xf>
    <xf numFmtId="193" fontId="9" fillId="0" borderId="21" xfId="0" applyNumberFormat="1" applyFont="1" applyFill="1" applyBorder="1" applyAlignment="1">
      <alignment horizontal="center" vertical="center"/>
    </xf>
    <xf numFmtId="1" fontId="9" fillId="0" borderId="6" xfId="0" applyNumberFormat="1" applyFont="1" applyFill="1" applyBorder="1" applyAlignment="1">
      <alignment horizontal="center" vertical="center"/>
    </xf>
    <xf numFmtId="193" fontId="9" fillId="0" borderId="8" xfId="0" applyNumberFormat="1" applyFont="1" applyFill="1" applyBorder="1" applyAlignment="1">
      <alignment horizontal="center" vertical="center"/>
    </xf>
    <xf numFmtId="193" fontId="9" fillId="0" borderId="23" xfId="0" applyNumberFormat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center" vertical="center"/>
    </xf>
    <xf numFmtId="193" fontId="9" fillId="0" borderId="24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40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193" fontId="9" fillId="0" borderId="0" xfId="0" applyNumberFormat="1" applyFont="1" applyFill="1" applyBorder="1" applyAlignment="1">
      <alignment horizontal="center"/>
    </xf>
    <xf numFmtId="2" fontId="9" fillId="0" borderId="6" xfId="0" applyNumberFormat="1" applyFont="1" applyBorder="1" applyAlignment="1">
      <alignment horizontal="right" vertical="center"/>
    </xf>
    <xf numFmtId="2" fontId="9" fillId="0" borderId="8" xfId="0" applyNumberFormat="1" applyFont="1" applyBorder="1" applyAlignment="1">
      <alignment horizontal="right" vertical="center"/>
    </xf>
    <xf numFmtId="2" fontId="9" fillId="0" borderId="14" xfId="0" applyNumberFormat="1" applyFont="1" applyBorder="1" applyAlignment="1">
      <alignment horizontal="right" vertical="center"/>
    </xf>
    <xf numFmtId="2" fontId="9" fillId="3" borderId="2" xfId="0" applyNumberFormat="1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left"/>
    </xf>
    <xf numFmtId="1" fontId="8" fillId="3" borderId="14" xfId="0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2" fontId="9" fillId="3" borderId="14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3" fontId="9" fillId="0" borderId="0" xfId="17" applyFont="1" applyFill="1" applyBorder="1" applyAlignment="1">
      <alignment horizontal="right" vertical="center"/>
    </xf>
    <xf numFmtId="43" fontId="8" fillId="0" borderId="0" xfId="17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0" fontId="8" fillId="3" borderId="12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11" fillId="3" borderId="12" xfId="0" applyFont="1" applyFill="1" applyBorder="1" applyAlignment="1">
      <alignment horizontal="right"/>
    </xf>
    <xf numFmtId="0" fontId="11" fillId="3" borderId="17" xfId="0" applyFont="1" applyFill="1" applyBorder="1" applyAlignment="1">
      <alignment horizontal="right"/>
    </xf>
    <xf numFmtId="0" fontId="24" fillId="0" borderId="17" xfId="0" applyNumberFormat="1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41</xdr:row>
      <xdr:rowOff>142875</xdr:rowOff>
    </xdr:from>
    <xdr:to>
      <xdr:col>5</xdr:col>
      <xdr:colOff>695325</xdr:colOff>
      <xdr:row>44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029700"/>
          <a:ext cx="2371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571500</xdr:colOff>
      <xdr:row>121</xdr:row>
      <xdr:rowOff>485775</xdr:rowOff>
    </xdr:from>
    <xdr:to>
      <xdr:col>6</xdr:col>
      <xdr:colOff>666750</xdr:colOff>
      <xdr:row>121</xdr:row>
      <xdr:rowOff>485775</xdr:rowOff>
    </xdr:to>
    <xdr:sp>
      <xdr:nvSpPr>
        <xdr:cNvPr id="2" name="Line 9"/>
        <xdr:cNvSpPr>
          <a:spLocks/>
        </xdr:cNvSpPr>
      </xdr:nvSpPr>
      <xdr:spPr>
        <a:xfrm>
          <a:off x="5962650" y="261842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292</xdr:row>
      <xdr:rowOff>142875</xdr:rowOff>
    </xdr:from>
    <xdr:to>
      <xdr:col>7</xdr:col>
      <xdr:colOff>609600</xdr:colOff>
      <xdr:row>292</xdr:row>
      <xdr:rowOff>142875</xdr:rowOff>
    </xdr:to>
    <xdr:sp>
      <xdr:nvSpPr>
        <xdr:cNvPr id="3" name="Line 10"/>
        <xdr:cNvSpPr>
          <a:spLocks/>
        </xdr:cNvSpPr>
      </xdr:nvSpPr>
      <xdr:spPr>
        <a:xfrm>
          <a:off x="6829425" y="563118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286</xdr:row>
      <xdr:rowOff>28575</xdr:rowOff>
    </xdr:from>
    <xdr:to>
      <xdr:col>16</xdr:col>
      <xdr:colOff>238125</xdr:colOff>
      <xdr:row>286</xdr:row>
      <xdr:rowOff>28575</xdr:rowOff>
    </xdr:to>
    <xdr:sp>
      <xdr:nvSpPr>
        <xdr:cNvPr id="4" name="Line 11"/>
        <xdr:cNvSpPr>
          <a:spLocks/>
        </xdr:cNvSpPr>
      </xdr:nvSpPr>
      <xdr:spPr>
        <a:xfrm>
          <a:off x="12172950" y="552259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1447800</xdr:colOff>
      <xdr:row>132</xdr:row>
      <xdr:rowOff>47625</xdr:rowOff>
    </xdr:from>
    <xdr:to>
      <xdr:col>2</xdr:col>
      <xdr:colOff>1571625</xdr:colOff>
      <xdr:row>132</xdr:row>
      <xdr:rowOff>47625</xdr:rowOff>
    </xdr:to>
    <xdr:sp>
      <xdr:nvSpPr>
        <xdr:cNvPr id="5" name="Line 12"/>
        <xdr:cNvSpPr>
          <a:spLocks/>
        </xdr:cNvSpPr>
      </xdr:nvSpPr>
      <xdr:spPr>
        <a:xfrm>
          <a:off x="2314575" y="288226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95</xdr:row>
      <xdr:rowOff>47625</xdr:rowOff>
    </xdr:from>
    <xdr:to>
      <xdr:col>8</xdr:col>
      <xdr:colOff>1285875</xdr:colOff>
      <xdr:row>115</xdr:row>
      <xdr:rowOff>57150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22050375"/>
          <a:ext cx="436245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129</xdr:row>
      <xdr:rowOff>76200</xdr:rowOff>
    </xdr:from>
    <xdr:to>
      <xdr:col>5</xdr:col>
      <xdr:colOff>638175</xdr:colOff>
      <xdr:row>143</xdr:row>
      <xdr:rowOff>104775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28613100"/>
          <a:ext cx="381000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169</xdr:row>
      <xdr:rowOff>114300</xdr:rowOff>
    </xdr:from>
    <xdr:to>
      <xdr:col>6</xdr:col>
      <xdr:colOff>876300</xdr:colOff>
      <xdr:row>186</xdr:row>
      <xdr:rowOff>19050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36223575"/>
          <a:ext cx="5800725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73</xdr:row>
      <xdr:rowOff>57150</xdr:rowOff>
    </xdr:from>
    <xdr:to>
      <xdr:col>8</xdr:col>
      <xdr:colOff>180975</xdr:colOff>
      <xdr:row>91</xdr:row>
      <xdr:rowOff>133350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7621250"/>
          <a:ext cx="6324600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146</xdr:row>
      <xdr:rowOff>114300</xdr:rowOff>
    </xdr:from>
    <xdr:to>
      <xdr:col>6</xdr:col>
      <xdr:colOff>733425</xdr:colOff>
      <xdr:row>166</xdr:row>
      <xdr:rowOff>104775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33023175"/>
          <a:ext cx="472440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6"/>
  <sheetViews>
    <sheetView zoomScale="88" zoomScaleNormal="88" workbookViewId="0" topLeftCell="A1">
      <selection activeCell="F149" sqref="F149"/>
    </sheetView>
  </sheetViews>
  <sheetFormatPr defaultColWidth="9.140625" defaultRowHeight="12.75"/>
  <cols>
    <col min="1" max="1" width="3.8515625" style="2" customWidth="1"/>
    <col min="2" max="2" width="9.140625" style="2" customWidth="1"/>
    <col min="3" max="3" width="26.28125" style="2" customWidth="1"/>
    <col min="4" max="8" width="13.8515625" style="2" customWidth="1"/>
    <col min="9" max="9" width="15.7109375" style="2" customWidth="1"/>
    <col min="10" max="10" width="4.00390625" style="33" customWidth="1"/>
    <col min="11" max="11" width="15.421875" style="33" customWidth="1"/>
    <col min="12" max="12" width="7.140625" style="33" customWidth="1"/>
    <col min="13" max="13" width="4.00390625" style="33" customWidth="1"/>
    <col min="14" max="14" width="7.28125" style="33" customWidth="1"/>
    <col min="15" max="43" width="9.140625" style="33" customWidth="1"/>
    <col min="44" max="16384" width="9.140625" style="2" customWidth="1"/>
  </cols>
  <sheetData>
    <row r="1" spans="1:15" ht="27.75" customHeight="1">
      <c r="A1" s="328" t="s">
        <v>98</v>
      </c>
      <c r="B1" s="328"/>
      <c r="C1" s="328"/>
      <c r="D1" s="328"/>
      <c r="E1" s="328"/>
      <c r="F1" s="328"/>
      <c r="G1" s="328"/>
      <c r="H1" s="328"/>
      <c r="I1" s="328"/>
      <c r="J1" s="1"/>
      <c r="K1" s="251"/>
      <c r="L1" s="251"/>
      <c r="M1" s="251"/>
      <c r="N1" s="251"/>
      <c r="O1" s="251"/>
    </row>
    <row r="2" spans="1:10" ht="12.75">
      <c r="A2" s="3"/>
      <c r="J2" s="3"/>
    </row>
    <row r="3" spans="1:15" ht="14.25">
      <c r="A3" s="3"/>
      <c r="B3" s="4" t="s">
        <v>89</v>
      </c>
      <c r="C3" s="4"/>
      <c r="D3" s="4"/>
      <c r="E3" s="4"/>
      <c r="F3" s="4"/>
      <c r="G3" s="4"/>
      <c r="H3" s="4"/>
      <c r="I3" s="4"/>
      <c r="J3" s="256"/>
      <c r="K3" s="252"/>
      <c r="L3" s="252"/>
      <c r="M3" s="252"/>
      <c r="N3" s="252"/>
      <c r="O3" s="252"/>
    </row>
    <row r="4" spans="1:10" ht="13.5" thickBot="1">
      <c r="A4" s="3"/>
      <c r="J4" s="3"/>
    </row>
    <row r="5" spans="1:43" s="37" customFormat="1" ht="18" customHeight="1" thickBot="1">
      <c r="A5" s="47"/>
      <c r="C5" s="8" t="s">
        <v>34</v>
      </c>
      <c r="D5" s="92">
        <v>2002</v>
      </c>
      <c r="E5" s="93">
        <v>2003</v>
      </c>
      <c r="F5" s="93">
        <v>2004</v>
      </c>
      <c r="G5" s="93">
        <v>2005</v>
      </c>
      <c r="H5" s="94">
        <v>2006</v>
      </c>
      <c r="J5" s="47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</row>
    <row r="6" spans="1:43" s="37" customFormat="1" ht="18" customHeight="1" thickBot="1">
      <c r="A6" s="47"/>
      <c r="C6" s="8" t="s">
        <v>58</v>
      </c>
      <c r="D6" s="95">
        <v>1740</v>
      </c>
      <c r="E6" s="96">
        <v>1852</v>
      </c>
      <c r="F6" s="96">
        <v>1912</v>
      </c>
      <c r="G6" s="96">
        <v>2094</v>
      </c>
      <c r="H6" s="97">
        <v>2461</v>
      </c>
      <c r="J6" s="47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</row>
    <row r="7" spans="1:10" ht="12.75">
      <c r="A7" s="3"/>
      <c r="J7" s="3"/>
    </row>
    <row r="8" spans="1:12" ht="14.25">
      <c r="A8" s="3"/>
      <c r="B8" s="5" t="s">
        <v>59</v>
      </c>
      <c r="C8" s="5"/>
      <c r="D8" s="5"/>
      <c r="E8" s="5"/>
      <c r="F8" s="5"/>
      <c r="G8" s="5"/>
      <c r="H8" s="5"/>
      <c r="I8" s="5"/>
      <c r="J8" s="102"/>
      <c r="K8" s="254"/>
      <c r="L8" s="254"/>
    </row>
    <row r="9" spans="1:12" ht="14.25">
      <c r="A9" s="3"/>
      <c r="B9" s="5" t="s">
        <v>60</v>
      </c>
      <c r="C9" s="5"/>
      <c r="D9" s="5"/>
      <c r="E9" s="5"/>
      <c r="F9" s="5"/>
      <c r="G9" s="5"/>
      <c r="H9" s="5"/>
      <c r="I9" s="5"/>
      <c r="J9" s="102"/>
      <c r="K9" s="254"/>
      <c r="L9" s="254"/>
    </row>
    <row r="10" spans="1:12" ht="14.25">
      <c r="A10" s="3"/>
      <c r="B10" s="5" t="s">
        <v>61</v>
      </c>
      <c r="C10" s="5"/>
      <c r="D10" s="5"/>
      <c r="E10" s="5"/>
      <c r="F10" s="5"/>
      <c r="G10" s="5"/>
      <c r="H10" s="5"/>
      <c r="I10" s="5"/>
      <c r="J10" s="102"/>
      <c r="K10" s="254"/>
      <c r="L10" s="254"/>
    </row>
    <row r="11" spans="1:10" ht="12.75">
      <c r="A11" s="3"/>
      <c r="J11" s="3"/>
    </row>
    <row r="12" spans="1:12" ht="14.25">
      <c r="A12" s="3"/>
      <c r="B12" s="4" t="s">
        <v>90</v>
      </c>
      <c r="C12" s="4"/>
      <c r="D12" s="4"/>
      <c r="E12" s="4"/>
      <c r="F12" s="4"/>
      <c r="G12" s="4"/>
      <c r="H12" s="4"/>
      <c r="I12" s="4"/>
      <c r="J12" s="256"/>
      <c r="K12" s="252"/>
      <c r="L12" s="252"/>
    </row>
    <row r="13" spans="1:12" ht="14.25">
      <c r="A13" s="3"/>
      <c r="B13" s="5" t="s">
        <v>62</v>
      </c>
      <c r="C13" s="5"/>
      <c r="D13" s="5"/>
      <c r="E13" s="5"/>
      <c r="F13" s="5"/>
      <c r="G13" s="5"/>
      <c r="H13" s="5"/>
      <c r="I13" s="5"/>
      <c r="J13" s="102"/>
      <c r="K13" s="254"/>
      <c r="L13" s="254"/>
    </row>
    <row r="14" spans="1:10" ht="13.5" thickBot="1">
      <c r="A14" s="3"/>
      <c r="J14" s="3"/>
    </row>
    <row r="15" spans="1:10" ht="18.75" customHeight="1" thickBot="1">
      <c r="A15" s="3"/>
      <c r="C15" s="6"/>
      <c r="D15" s="330" t="s">
        <v>63</v>
      </c>
      <c r="E15" s="331"/>
      <c r="F15" s="332"/>
      <c r="J15" s="3"/>
    </row>
    <row r="16" spans="1:10" ht="34.5" customHeight="1" thickBot="1">
      <c r="A16" s="3"/>
      <c r="C16" s="7" t="s">
        <v>64</v>
      </c>
      <c r="D16" s="7" t="s">
        <v>65</v>
      </c>
      <c r="E16" s="7" t="s">
        <v>66</v>
      </c>
      <c r="F16" s="7" t="s">
        <v>75</v>
      </c>
      <c r="J16" s="3"/>
    </row>
    <row r="17" spans="1:43" s="37" customFormat="1" ht="18" customHeight="1">
      <c r="A17" s="47"/>
      <c r="C17" s="38" t="s">
        <v>67</v>
      </c>
      <c r="D17" s="38">
        <v>3</v>
      </c>
      <c r="E17" s="39">
        <v>12</v>
      </c>
      <c r="F17" s="38">
        <v>35</v>
      </c>
      <c r="J17" s="47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</row>
    <row r="18" spans="1:43" s="37" customFormat="1" ht="18" customHeight="1">
      <c r="A18" s="47"/>
      <c r="C18" s="88" t="s">
        <v>68</v>
      </c>
      <c r="D18" s="88">
        <v>12</v>
      </c>
      <c r="E18" s="89">
        <v>67</v>
      </c>
      <c r="F18" s="88">
        <v>21</v>
      </c>
      <c r="J18" s="47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</row>
    <row r="19" spans="1:43" s="37" customFormat="1" ht="18" customHeight="1" thickBot="1">
      <c r="A19" s="47"/>
      <c r="C19" s="90" t="s">
        <v>69</v>
      </c>
      <c r="D19" s="90">
        <v>32</v>
      </c>
      <c r="E19" s="91">
        <v>112</v>
      </c>
      <c r="F19" s="90">
        <v>6</v>
      </c>
      <c r="J19" s="47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</row>
    <row r="20" spans="1:10" ht="24" customHeight="1">
      <c r="A20" s="3"/>
      <c r="J20" s="3"/>
    </row>
    <row r="21" spans="1:15" ht="14.25">
      <c r="A21" s="3"/>
      <c r="B21" s="5" t="s">
        <v>70</v>
      </c>
      <c r="C21" s="5"/>
      <c r="D21" s="5"/>
      <c r="E21" s="5"/>
      <c r="F21" s="5"/>
      <c r="G21" s="5"/>
      <c r="H21" s="5"/>
      <c r="I21" s="5"/>
      <c r="J21" s="102"/>
      <c r="K21" s="254"/>
      <c r="L21" s="254"/>
      <c r="M21" s="254"/>
      <c r="N21" s="254"/>
      <c r="O21" s="254"/>
    </row>
    <row r="22" spans="1:15" ht="14.25">
      <c r="A22" s="3"/>
      <c r="B22" s="5" t="s">
        <v>104</v>
      </c>
      <c r="C22" s="5"/>
      <c r="D22" s="5"/>
      <c r="E22" s="5"/>
      <c r="F22" s="5"/>
      <c r="G22" s="5"/>
      <c r="H22" s="5"/>
      <c r="I22" s="5"/>
      <c r="J22" s="102"/>
      <c r="K22" s="254"/>
      <c r="L22" s="254"/>
      <c r="M22" s="254"/>
      <c r="N22" s="254"/>
      <c r="O22" s="254"/>
    </row>
    <row r="23" spans="1:15" ht="14.25">
      <c r="A23" s="3"/>
      <c r="B23" s="5" t="s">
        <v>105</v>
      </c>
      <c r="C23" s="5"/>
      <c r="D23" s="5"/>
      <c r="E23" s="5"/>
      <c r="F23" s="5"/>
      <c r="G23" s="5"/>
      <c r="H23" s="5"/>
      <c r="I23" s="5"/>
      <c r="J23" s="102"/>
      <c r="K23" s="254"/>
      <c r="L23" s="254"/>
      <c r="M23" s="254"/>
      <c r="N23" s="254"/>
      <c r="O23" s="254"/>
    </row>
    <row r="24" spans="1:15" ht="14.25">
      <c r="A24" s="3"/>
      <c r="B24" s="5" t="s">
        <v>107</v>
      </c>
      <c r="C24" s="5"/>
      <c r="D24" s="5"/>
      <c r="E24" s="5"/>
      <c r="F24" s="5"/>
      <c r="G24" s="5"/>
      <c r="H24" s="5"/>
      <c r="I24" s="5"/>
      <c r="J24" s="102"/>
      <c r="K24" s="254"/>
      <c r="L24" s="254"/>
      <c r="M24" s="254"/>
      <c r="N24" s="254"/>
      <c r="O24" s="254"/>
    </row>
    <row r="25" spans="1:15" ht="14.25">
      <c r="A25" s="3"/>
      <c r="B25" s="5" t="s">
        <v>106</v>
      </c>
      <c r="C25" s="5"/>
      <c r="D25" s="5"/>
      <c r="E25" s="5"/>
      <c r="F25" s="5"/>
      <c r="G25" s="5"/>
      <c r="H25" s="5"/>
      <c r="I25" s="5"/>
      <c r="J25" s="102"/>
      <c r="K25" s="254"/>
      <c r="L25" s="254"/>
      <c r="M25" s="254"/>
      <c r="N25" s="254"/>
      <c r="O25" s="254"/>
    </row>
    <row r="26" spans="1:15" ht="14.25">
      <c r="A26" s="3"/>
      <c r="B26" s="5" t="s">
        <v>71</v>
      </c>
      <c r="C26" s="5"/>
      <c r="D26" s="5"/>
      <c r="E26" s="5"/>
      <c r="F26" s="5"/>
      <c r="G26" s="5"/>
      <c r="H26" s="5"/>
      <c r="I26" s="5"/>
      <c r="J26" s="102"/>
      <c r="K26" s="254"/>
      <c r="L26" s="254"/>
      <c r="M26" s="254"/>
      <c r="N26" s="254"/>
      <c r="O26" s="254"/>
    </row>
    <row r="27" spans="1:10" ht="18" customHeight="1">
      <c r="A27" s="3"/>
      <c r="J27" s="3"/>
    </row>
    <row r="28" spans="1:15" ht="14.25">
      <c r="A28" s="3"/>
      <c r="B28" s="4" t="s">
        <v>108</v>
      </c>
      <c r="C28" s="4"/>
      <c r="D28" s="4"/>
      <c r="E28" s="4"/>
      <c r="F28" s="4"/>
      <c r="G28" s="4"/>
      <c r="H28" s="4"/>
      <c r="I28" s="4"/>
      <c r="J28" s="256"/>
      <c r="K28" s="252"/>
      <c r="L28" s="252"/>
      <c r="M28" s="252"/>
      <c r="N28" s="252"/>
      <c r="O28" s="252"/>
    </row>
    <row r="29" spans="1:12" ht="14.25">
      <c r="A29" s="3"/>
      <c r="B29" s="5" t="s">
        <v>109</v>
      </c>
      <c r="C29" s="5"/>
      <c r="D29" s="5"/>
      <c r="E29" s="5"/>
      <c r="F29" s="5"/>
      <c r="G29" s="5"/>
      <c r="H29" s="5"/>
      <c r="I29" s="5"/>
      <c r="J29" s="102"/>
      <c r="K29" s="254"/>
      <c r="L29" s="254"/>
    </row>
    <row r="30" spans="1:10" ht="13.5" thickBot="1">
      <c r="A30" s="3"/>
      <c r="J30" s="3"/>
    </row>
    <row r="31" spans="1:10" ht="37.5" customHeight="1" thickBot="1">
      <c r="A31" s="3"/>
      <c r="C31" s="8" t="s">
        <v>43</v>
      </c>
      <c r="D31" s="7" t="s">
        <v>74</v>
      </c>
      <c r="J31" s="3"/>
    </row>
    <row r="32" spans="1:10" ht="18" customHeight="1">
      <c r="A32" s="3"/>
      <c r="C32" s="82">
        <v>15</v>
      </c>
      <c r="D32" s="83">
        <v>56</v>
      </c>
      <c r="J32" s="3"/>
    </row>
    <row r="33" spans="1:10" ht="18" customHeight="1">
      <c r="A33" s="3"/>
      <c r="C33" s="84">
        <v>25</v>
      </c>
      <c r="D33" s="85">
        <v>57</v>
      </c>
      <c r="J33" s="3"/>
    </row>
    <row r="34" spans="1:10" ht="18" customHeight="1">
      <c r="A34" s="3"/>
      <c r="C34" s="84">
        <v>35</v>
      </c>
      <c r="D34" s="85">
        <v>64</v>
      </c>
      <c r="J34" s="3"/>
    </row>
    <row r="35" spans="1:10" ht="18" customHeight="1">
      <c r="A35" s="3"/>
      <c r="C35" s="84">
        <v>45</v>
      </c>
      <c r="D35" s="85">
        <v>64</v>
      </c>
      <c r="J35" s="3"/>
    </row>
    <row r="36" spans="1:10" ht="18" customHeight="1">
      <c r="A36" s="3"/>
      <c r="C36" s="84">
        <v>55</v>
      </c>
      <c r="D36" s="85">
        <v>68</v>
      </c>
      <c r="J36" s="3"/>
    </row>
    <row r="37" spans="1:10" ht="18" customHeight="1">
      <c r="A37" s="3"/>
      <c r="C37" s="84">
        <v>65</v>
      </c>
      <c r="D37" s="85">
        <v>74</v>
      </c>
      <c r="J37" s="3"/>
    </row>
    <row r="38" spans="1:10" ht="18" customHeight="1">
      <c r="A38" s="3"/>
      <c r="C38" s="84">
        <v>75</v>
      </c>
      <c r="D38" s="85">
        <v>78</v>
      </c>
      <c r="J38" s="3"/>
    </row>
    <row r="39" spans="1:10" ht="18" customHeight="1" thickBot="1">
      <c r="A39" s="3"/>
      <c r="C39" s="86">
        <v>85</v>
      </c>
      <c r="D39" s="87">
        <v>85</v>
      </c>
      <c r="J39" s="3"/>
    </row>
    <row r="40" spans="1:10" ht="12.75">
      <c r="A40" s="3"/>
      <c r="J40" s="3"/>
    </row>
    <row r="41" spans="1:15" ht="14.25">
      <c r="A41" s="3"/>
      <c r="B41" s="5" t="s">
        <v>72</v>
      </c>
      <c r="C41" s="5"/>
      <c r="D41" s="5"/>
      <c r="E41" s="5"/>
      <c r="F41" s="5"/>
      <c r="G41" s="5"/>
      <c r="H41" s="5"/>
      <c r="I41" s="5"/>
      <c r="J41" s="102"/>
      <c r="K41" s="254"/>
      <c r="L41" s="254"/>
      <c r="M41" s="254"/>
      <c r="N41" s="254"/>
      <c r="O41" s="254"/>
    </row>
    <row r="42" spans="1:10" ht="12.75">
      <c r="A42" s="3"/>
      <c r="J42" s="3"/>
    </row>
    <row r="43" spans="1:10" ht="12.75">
      <c r="A43" s="3"/>
      <c r="D43" s="333"/>
      <c r="E43" s="333"/>
      <c r="F43" s="333"/>
      <c r="J43" s="3"/>
    </row>
    <row r="44" spans="1:10" ht="12.75">
      <c r="A44" s="3"/>
      <c r="D44" s="333"/>
      <c r="E44" s="333"/>
      <c r="F44" s="333"/>
      <c r="J44" s="3"/>
    </row>
    <row r="45" spans="1:10" ht="12.75">
      <c r="A45" s="3"/>
      <c r="J45" s="3"/>
    </row>
    <row r="46" spans="1:15" ht="14.25">
      <c r="A46" s="3"/>
      <c r="B46" s="5" t="s">
        <v>84</v>
      </c>
      <c r="C46" s="5"/>
      <c r="D46" s="5"/>
      <c r="E46" s="5"/>
      <c r="F46" s="5"/>
      <c r="G46" s="5"/>
      <c r="H46" s="5"/>
      <c r="I46" s="5"/>
      <c r="J46" s="102"/>
      <c r="K46" s="254"/>
      <c r="L46" s="254"/>
      <c r="M46" s="254"/>
      <c r="N46" s="254"/>
      <c r="O46" s="254"/>
    </row>
    <row r="47" spans="1:15" ht="14.25">
      <c r="A47" s="3"/>
      <c r="B47" s="5" t="s">
        <v>111</v>
      </c>
      <c r="C47" s="5"/>
      <c r="D47" s="5"/>
      <c r="E47" s="5"/>
      <c r="F47" s="5"/>
      <c r="G47" s="5"/>
      <c r="H47" s="5"/>
      <c r="I47" s="5"/>
      <c r="J47" s="102"/>
      <c r="K47" s="254"/>
      <c r="L47" s="254"/>
      <c r="M47" s="254"/>
      <c r="N47" s="254"/>
      <c r="O47" s="254"/>
    </row>
    <row r="48" spans="1:15" ht="14.25">
      <c r="A48" s="3"/>
      <c r="B48" s="5" t="s">
        <v>110</v>
      </c>
      <c r="C48" s="5"/>
      <c r="D48" s="5"/>
      <c r="E48" s="5"/>
      <c r="F48" s="5"/>
      <c r="G48" s="5"/>
      <c r="H48" s="5"/>
      <c r="I48" s="5"/>
      <c r="J48" s="102"/>
      <c r="K48" s="254"/>
      <c r="L48" s="254"/>
      <c r="M48" s="254"/>
      <c r="N48" s="254"/>
      <c r="O48" s="254"/>
    </row>
    <row r="49" spans="1:15" ht="14.25">
      <c r="A49" s="3"/>
      <c r="B49" s="5" t="s">
        <v>85</v>
      </c>
      <c r="C49" s="5"/>
      <c r="D49" s="5"/>
      <c r="E49" s="5"/>
      <c r="F49" s="5"/>
      <c r="G49" s="5"/>
      <c r="H49" s="5"/>
      <c r="I49" s="5"/>
      <c r="J49" s="102"/>
      <c r="K49" s="254"/>
      <c r="L49" s="254"/>
      <c r="M49" s="254"/>
      <c r="N49" s="254"/>
      <c r="O49" s="254"/>
    </row>
    <row r="50" spans="1:10" ht="12.75">
      <c r="A50" s="3"/>
      <c r="J50" s="3"/>
    </row>
    <row r="51" spans="1:10" ht="18" customHeight="1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5" ht="18">
      <c r="A52" s="329" t="s">
        <v>200</v>
      </c>
      <c r="B52" s="329"/>
      <c r="C52" s="329"/>
      <c r="D52" s="329"/>
      <c r="E52" s="329"/>
      <c r="F52" s="329"/>
      <c r="G52" s="329"/>
      <c r="H52" s="329"/>
      <c r="I52" s="329"/>
      <c r="J52" s="13"/>
      <c r="K52" s="251"/>
      <c r="L52" s="251"/>
      <c r="M52" s="251"/>
      <c r="N52" s="251"/>
      <c r="O52" s="251"/>
    </row>
    <row r="53" spans="1:10" ht="12.75">
      <c r="A53" s="14"/>
      <c r="J53" s="14"/>
    </row>
    <row r="54" spans="1:10" ht="15">
      <c r="A54" s="49" t="s">
        <v>99</v>
      </c>
      <c r="J54" s="14"/>
    </row>
    <row r="55" spans="1:10" ht="7.5" customHeight="1">
      <c r="A55" s="49"/>
      <c r="J55" s="14"/>
    </row>
    <row r="56" spans="1:15" ht="15">
      <c r="A56" s="50" t="s">
        <v>15</v>
      </c>
      <c r="B56" s="5" t="s">
        <v>73</v>
      </c>
      <c r="C56" s="5"/>
      <c r="D56" s="5"/>
      <c r="E56" s="5"/>
      <c r="F56" s="5"/>
      <c r="G56" s="5"/>
      <c r="H56" s="5"/>
      <c r="I56" s="5"/>
      <c r="J56" s="257"/>
      <c r="K56" s="254"/>
      <c r="L56" s="254"/>
      <c r="M56" s="254"/>
      <c r="N56" s="254"/>
      <c r="O56" s="254"/>
    </row>
    <row r="57" spans="1:15" ht="15">
      <c r="A57" s="50" t="s">
        <v>17</v>
      </c>
      <c r="B57" s="5" t="s">
        <v>76</v>
      </c>
      <c r="C57" s="5"/>
      <c r="D57" s="5"/>
      <c r="E57" s="5"/>
      <c r="F57" s="5"/>
      <c r="G57" s="5"/>
      <c r="H57" s="5"/>
      <c r="I57" s="5"/>
      <c r="J57" s="257"/>
      <c r="K57" s="254"/>
      <c r="L57" s="254"/>
      <c r="M57" s="254"/>
      <c r="N57" s="254"/>
      <c r="O57" s="254"/>
    </row>
    <row r="58" spans="1:10" ht="15.75" thickBot="1">
      <c r="A58" s="50"/>
      <c r="J58" s="14"/>
    </row>
    <row r="59" spans="1:43" s="37" customFormat="1" ht="18.75" customHeight="1" thickBot="1">
      <c r="A59" s="36"/>
      <c r="C59" s="29" t="s">
        <v>34</v>
      </c>
      <c r="D59" s="38">
        <v>2002</v>
      </c>
      <c r="E59" s="38">
        <v>2003</v>
      </c>
      <c r="F59" s="39">
        <v>2004</v>
      </c>
      <c r="G59" s="38">
        <v>2005</v>
      </c>
      <c r="H59" s="40">
        <v>2006</v>
      </c>
      <c r="J59" s="36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</row>
    <row r="60" spans="1:43" s="37" customFormat="1" ht="18.75" customHeight="1" thickBot="1">
      <c r="A60" s="36"/>
      <c r="C60" s="29" t="s">
        <v>58</v>
      </c>
      <c r="D60" s="41">
        <v>1740</v>
      </c>
      <c r="E60" s="41">
        <v>1852</v>
      </c>
      <c r="F60" s="42">
        <v>1912</v>
      </c>
      <c r="G60" s="41">
        <v>2094</v>
      </c>
      <c r="H60" s="43">
        <v>2461</v>
      </c>
      <c r="J60" s="36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253"/>
      <c r="AL60" s="253"/>
      <c r="AM60" s="253"/>
      <c r="AN60" s="253"/>
      <c r="AO60" s="253"/>
      <c r="AP60" s="253"/>
      <c r="AQ60" s="253"/>
    </row>
    <row r="61" spans="1:43" s="37" customFormat="1" ht="33.75" customHeight="1" thickBot="1">
      <c r="A61" s="36"/>
      <c r="C61" s="19" t="s">
        <v>91</v>
      </c>
      <c r="D61" s="44">
        <f>D60/E60*100</f>
        <v>93.9524838012959</v>
      </c>
      <c r="E61" s="44">
        <f>E60/E60*100</f>
        <v>100</v>
      </c>
      <c r="F61" s="45">
        <f>F60/$E$60*100</f>
        <v>103.23974082073435</v>
      </c>
      <c r="G61" s="46">
        <f>G60/$E$60*100</f>
        <v>113.0669546436285</v>
      </c>
      <c r="H61" s="44">
        <f>H60/$E$60*100</f>
        <v>132.88336933045358</v>
      </c>
      <c r="J61" s="36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3"/>
      <c r="AJ61" s="253"/>
      <c r="AK61" s="253"/>
      <c r="AL61" s="253"/>
      <c r="AM61" s="253"/>
      <c r="AN61" s="253"/>
      <c r="AO61" s="253"/>
      <c r="AP61" s="253"/>
      <c r="AQ61" s="253"/>
    </row>
    <row r="62" spans="1:43" s="37" customFormat="1" ht="33.75" customHeight="1" thickBot="1">
      <c r="A62" s="36"/>
      <c r="C62" s="19" t="s">
        <v>92</v>
      </c>
      <c r="D62" s="46" t="s">
        <v>48</v>
      </c>
      <c r="E62" s="46">
        <f>E60/D60*100</f>
        <v>106.4367816091954</v>
      </c>
      <c r="F62" s="46">
        <f>F60/E60*100</f>
        <v>103.23974082073435</v>
      </c>
      <c r="G62" s="46">
        <f>G60/F60*100</f>
        <v>109.51882845188285</v>
      </c>
      <c r="H62" s="44">
        <f>H60/G60*100</f>
        <v>117.52626552053486</v>
      </c>
      <c r="J62" s="36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  <c r="AI62" s="253"/>
      <c r="AJ62" s="253"/>
      <c r="AK62" s="253"/>
      <c r="AL62" s="253"/>
      <c r="AM62" s="253"/>
      <c r="AN62" s="253"/>
      <c r="AO62" s="253"/>
      <c r="AP62" s="253"/>
      <c r="AQ62" s="253"/>
    </row>
    <row r="63" spans="1:10" ht="14.25">
      <c r="A63" s="14"/>
      <c r="C63" s="17"/>
      <c r="J63" s="14"/>
    </row>
    <row r="64" spans="1:15" ht="15">
      <c r="A64" s="50" t="s">
        <v>19</v>
      </c>
      <c r="B64" s="5" t="s">
        <v>77</v>
      </c>
      <c r="C64" s="5"/>
      <c r="D64" s="5"/>
      <c r="E64" s="5"/>
      <c r="F64" s="5"/>
      <c r="G64" s="5"/>
      <c r="H64" s="5"/>
      <c r="I64" s="5"/>
      <c r="J64" s="257"/>
      <c r="K64" s="254"/>
      <c r="L64" s="254"/>
      <c r="M64" s="254"/>
      <c r="N64" s="254"/>
      <c r="O64" s="254"/>
    </row>
    <row r="65" spans="1:10" ht="12.75">
      <c r="A65" s="14"/>
      <c r="J65" s="14"/>
    </row>
    <row r="66" spans="1:10" ht="17.25">
      <c r="A66" s="14"/>
      <c r="C66" s="318" t="s">
        <v>93</v>
      </c>
      <c r="D66" s="318"/>
      <c r="E66" s="18">
        <f>((($H$60/$D$60)^(1/4))*100)-100</f>
        <v>9.053746791841874</v>
      </c>
      <c r="J66" s="14"/>
    </row>
    <row r="67" spans="1:10" ht="12.75">
      <c r="A67" s="14"/>
      <c r="J67" s="14"/>
    </row>
    <row r="68" spans="1:10" ht="12.75">
      <c r="A68" s="14"/>
      <c r="J68" s="14"/>
    </row>
    <row r="69" spans="1:10" ht="15">
      <c r="A69" s="49" t="s">
        <v>100</v>
      </c>
      <c r="J69" s="14"/>
    </row>
    <row r="70" spans="1:10" ht="7.5" customHeight="1">
      <c r="A70" s="49"/>
      <c r="J70" s="14"/>
    </row>
    <row r="71" spans="1:15" ht="15">
      <c r="A71" s="50" t="s">
        <v>15</v>
      </c>
      <c r="B71" s="5" t="s">
        <v>78</v>
      </c>
      <c r="C71" s="5"/>
      <c r="D71" s="5"/>
      <c r="E71" s="5"/>
      <c r="F71" s="5"/>
      <c r="G71" s="5"/>
      <c r="H71" s="5"/>
      <c r="I71" s="5"/>
      <c r="J71" s="257"/>
      <c r="K71" s="254"/>
      <c r="L71" s="254"/>
      <c r="M71" s="254"/>
      <c r="N71" s="254"/>
      <c r="O71" s="254"/>
    </row>
    <row r="72" spans="1:10" ht="27" customHeight="1" thickBot="1">
      <c r="A72" s="14"/>
      <c r="B72" s="107" t="s">
        <v>207</v>
      </c>
      <c r="J72" s="14"/>
    </row>
    <row r="73" spans="1:10" ht="18" customHeight="1" thickBot="1">
      <c r="A73" s="14"/>
      <c r="D73" s="323" t="s">
        <v>63</v>
      </c>
      <c r="E73" s="324"/>
      <c r="F73" s="325"/>
      <c r="J73" s="14"/>
    </row>
    <row r="74" spans="1:10" ht="34.5" customHeight="1" thickBot="1">
      <c r="A74" s="14"/>
      <c r="C74" s="19" t="s">
        <v>64</v>
      </c>
      <c r="D74" s="19" t="s">
        <v>65</v>
      </c>
      <c r="E74" s="19" t="s">
        <v>66</v>
      </c>
      <c r="F74" s="19" t="s">
        <v>75</v>
      </c>
      <c r="G74" s="19" t="s">
        <v>28</v>
      </c>
      <c r="J74" s="14"/>
    </row>
    <row r="75" spans="1:10" ht="18" customHeight="1">
      <c r="A75" s="14"/>
      <c r="C75" s="20" t="s">
        <v>67</v>
      </c>
      <c r="D75" s="20">
        <v>3</v>
      </c>
      <c r="E75" s="21">
        <v>12</v>
      </c>
      <c r="F75" s="20">
        <v>35</v>
      </c>
      <c r="G75" s="64">
        <f>SUM(D75:F75)</f>
        <v>50</v>
      </c>
      <c r="J75" s="14"/>
    </row>
    <row r="76" spans="1:10" ht="18" customHeight="1">
      <c r="A76" s="14"/>
      <c r="C76" s="22" t="s">
        <v>68</v>
      </c>
      <c r="D76" s="22">
        <v>12</v>
      </c>
      <c r="E76" s="23">
        <v>67</v>
      </c>
      <c r="F76" s="22">
        <v>21</v>
      </c>
      <c r="G76" s="65">
        <f>SUM(D76:F76)</f>
        <v>100</v>
      </c>
      <c r="J76" s="14"/>
    </row>
    <row r="77" spans="1:10" ht="18" customHeight="1" thickBot="1">
      <c r="A77" s="14"/>
      <c r="C77" s="24" t="s">
        <v>69</v>
      </c>
      <c r="D77" s="24">
        <v>32</v>
      </c>
      <c r="E77" s="25">
        <v>112</v>
      </c>
      <c r="F77" s="24">
        <v>6</v>
      </c>
      <c r="G77" s="65">
        <f>SUM(D77:F77)</f>
        <v>150</v>
      </c>
      <c r="J77" s="14"/>
    </row>
    <row r="78" spans="1:43" s="53" customFormat="1" ht="18" customHeight="1" thickBot="1">
      <c r="A78" s="52"/>
      <c r="C78" s="19" t="s">
        <v>28</v>
      </c>
      <c r="D78" s="29">
        <f>SUM(D75:D77)</f>
        <v>47</v>
      </c>
      <c r="E78" s="29">
        <f>SUM(E75:E77)</f>
        <v>191</v>
      </c>
      <c r="F78" s="29">
        <f>SUM(F75:F77)</f>
        <v>62</v>
      </c>
      <c r="G78" s="29">
        <f>SUM(D78:F78)</f>
        <v>300</v>
      </c>
      <c r="J78" s="52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5"/>
      <c r="AJ78" s="255"/>
      <c r="AK78" s="255"/>
      <c r="AL78" s="255"/>
      <c r="AM78" s="255"/>
      <c r="AN78" s="255"/>
      <c r="AO78" s="255"/>
      <c r="AP78" s="255"/>
      <c r="AQ78" s="255"/>
    </row>
    <row r="79" spans="1:10" ht="10.5" customHeight="1">
      <c r="A79" s="14"/>
      <c r="J79" s="14"/>
    </row>
    <row r="80" spans="1:10" ht="19.5" customHeight="1">
      <c r="A80" s="14"/>
      <c r="B80" s="300" t="s">
        <v>206</v>
      </c>
      <c r="J80" s="14"/>
    </row>
    <row r="81" spans="1:10" ht="18" customHeight="1" thickBot="1">
      <c r="A81" s="14"/>
      <c r="C81" s="26"/>
      <c r="D81" s="26"/>
      <c r="E81" s="26"/>
      <c r="F81" s="26"/>
      <c r="G81" s="26"/>
      <c r="J81" s="14"/>
    </row>
    <row r="82" spans="1:10" ht="18" customHeight="1" thickBot="1">
      <c r="A82" s="14"/>
      <c r="C82" s="26"/>
      <c r="D82" s="323" t="s">
        <v>63</v>
      </c>
      <c r="E82" s="324"/>
      <c r="F82" s="325"/>
      <c r="G82" s="26"/>
      <c r="J82" s="14"/>
    </row>
    <row r="83" spans="1:10" ht="32.25" customHeight="1" thickBot="1">
      <c r="A83" s="14"/>
      <c r="C83" s="301"/>
      <c r="D83" s="19" t="s">
        <v>65</v>
      </c>
      <c r="E83" s="19" t="s">
        <v>66</v>
      </c>
      <c r="F83" s="19" t="s">
        <v>75</v>
      </c>
      <c r="G83" s="19" t="s">
        <v>28</v>
      </c>
      <c r="J83" s="14"/>
    </row>
    <row r="84" spans="1:43" s="53" customFormat="1" ht="18" customHeight="1" thickBot="1">
      <c r="A84" s="52"/>
      <c r="C84" s="299" t="s">
        <v>79</v>
      </c>
      <c r="D84" s="54">
        <f>D78</f>
        <v>47</v>
      </c>
      <c r="E84" s="54">
        <f>E78</f>
        <v>191</v>
      </c>
      <c r="F84" s="54">
        <f>F78</f>
        <v>62</v>
      </c>
      <c r="G84" s="29">
        <f>SUM(D84:F84)</f>
        <v>300</v>
      </c>
      <c r="J84" s="52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5"/>
      <c r="AC84" s="255"/>
      <c r="AD84" s="255"/>
      <c r="AE84" s="255"/>
      <c r="AF84" s="255"/>
      <c r="AG84" s="255"/>
      <c r="AH84" s="255"/>
      <c r="AI84" s="255"/>
      <c r="AJ84" s="255"/>
      <c r="AK84" s="255"/>
      <c r="AL84" s="255"/>
      <c r="AM84" s="255"/>
      <c r="AN84" s="255"/>
      <c r="AO84" s="255"/>
      <c r="AP84" s="255"/>
      <c r="AQ84" s="255"/>
    </row>
    <row r="85" spans="1:10" ht="12.75">
      <c r="A85" s="14"/>
      <c r="J85" s="14"/>
    </row>
    <row r="86" spans="1:10" ht="15">
      <c r="A86" s="14"/>
      <c r="C86" s="55" t="s">
        <v>103</v>
      </c>
      <c r="D86" s="50" t="s">
        <v>80</v>
      </c>
      <c r="J86" s="14"/>
    </row>
    <row r="87" spans="1:10" ht="12.75">
      <c r="A87" s="14"/>
      <c r="J87" s="14"/>
    </row>
    <row r="88" spans="1:15" ht="15">
      <c r="A88" s="50" t="s">
        <v>17</v>
      </c>
      <c r="B88" s="5" t="s">
        <v>117</v>
      </c>
      <c r="C88" s="5"/>
      <c r="D88" s="5"/>
      <c r="E88" s="5"/>
      <c r="F88" s="5"/>
      <c r="G88" s="5"/>
      <c r="H88" s="5"/>
      <c r="I88" s="5"/>
      <c r="J88" s="257"/>
      <c r="K88" s="254"/>
      <c r="L88" s="254"/>
      <c r="M88" s="254"/>
      <c r="N88" s="254"/>
      <c r="O88" s="254"/>
    </row>
    <row r="89" spans="1:15" ht="15">
      <c r="A89" s="50"/>
      <c r="B89" s="5" t="s">
        <v>116</v>
      </c>
      <c r="C89" s="5"/>
      <c r="D89" s="5"/>
      <c r="E89" s="5"/>
      <c r="F89" s="5"/>
      <c r="G89" s="5"/>
      <c r="H89" s="5"/>
      <c r="I89" s="5"/>
      <c r="J89" s="257"/>
      <c r="K89" s="254"/>
      <c r="L89" s="254"/>
      <c r="M89" s="254"/>
      <c r="N89" s="254"/>
      <c r="O89" s="254"/>
    </row>
    <row r="90" spans="1:10" ht="13.5" thickBot="1">
      <c r="A90" s="14"/>
      <c r="J90" s="14"/>
    </row>
    <row r="91" spans="1:43" s="53" customFormat="1" ht="18" customHeight="1" thickBot="1">
      <c r="A91" s="52"/>
      <c r="B91" s="98" t="s">
        <v>118</v>
      </c>
      <c r="C91" s="98"/>
      <c r="D91" s="320" t="s">
        <v>63</v>
      </c>
      <c r="E91" s="321"/>
      <c r="F91" s="322"/>
      <c r="J91" s="52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255"/>
      <c r="AI91" s="255"/>
      <c r="AJ91" s="255"/>
      <c r="AK91" s="255"/>
      <c r="AL91" s="255"/>
      <c r="AM91" s="255"/>
      <c r="AN91" s="255"/>
      <c r="AO91" s="255"/>
      <c r="AP91" s="255"/>
      <c r="AQ91" s="255"/>
    </row>
    <row r="92" spans="1:43" s="53" customFormat="1" ht="32.25" customHeight="1" thickBot="1">
      <c r="A92" s="52"/>
      <c r="B92" s="98"/>
      <c r="C92" s="98"/>
      <c r="D92" s="19" t="s">
        <v>65</v>
      </c>
      <c r="E92" s="19" t="s">
        <v>66</v>
      </c>
      <c r="F92" s="19" t="s">
        <v>75</v>
      </c>
      <c r="G92" s="19" t="s">
        <v>81</v>
      </c>
      <c r="J92" s="52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  <c r="AJ92" s="255"/>
      <c r="AK92" s="255"/>
      <c r="AL92" s="255"/>
      <c r="AM92" s="255"/>
      <c r="AN92" s="255"/>
      <c r="AO92" s="255"/>
      <c r="AP92" s="255"/>
      <c r="AQ92" s="255"/>
    </row>
    <row r="93" spans="1:43" s="53" customFormat="1" ht="18" customHeight="1" thickBot="1">
      <c r="A93" s="52"/>
      <c r="D93" s="57">
        <f>D75/G75*100</f>
        <v>6</v>
      </c>
      <c r="E93" s="58">
        <f>E75/G75*100</f>
        <v>24</v>
      </c>
      <c r="F93" s="59">
        <f>F75/G75*100</f>
        <v>70</v>
      </c>
      <c r="G93" s="60">
        <f>SUM(D93:F93)</f>
        <v>100</v>
      </c>
      <c r="J93" s="52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255"/>
      <c r="AL93" s="255"/>
      <c r="AM93" s="255"/>
      <c r="AN93" s="255"/>
      <c r="AO93" s="255"/>
      <c r="AP93" s="255"/>
      <c r="AQ93" s="255"/>
    </row>
    <row r="94" spans="1:10" ht="12.75">
      <c r="A94" s="14"/>
      <c r="J94" s="14"/>
    </row>
    <row r="95" spans="1:10" ht="13.5" thickBot="1">
      <c r="A95" s="14"/>
      <c r="J95" s="14"/>
    </row>
    <row r="96" spans="1:43" s="53" customFormat="1" ht="18" customHeight="1" thickBot="1">
      <c r="A96" s="52"/>
      <c r="B96" s="99" t="s">
        <v>82</v>
      </c>
      <c r="D96" s="320" t="s">
        <v>63</v>
      </c>
      <c r="E96" s="321"/>
      <c r="F96" s="322"/>
      <c r="J96" s="52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5"/>
      <c r="AD96" s="255"/>
      <c r="AE96" s="255"/>
      <c r="AF96" s="255"/>
      <c r="AG96" s="255"/>
      <c r="AH96" s="255"/>
      <c r="AI96" s="255"/>
      <c r="AJ96" s="255"/>
      <c r="AK96" s="255"/>
      <c r="AL96" s="255"/>
      <c r="AM96" s="255"/>
      <c r="AN96" s="255"/>
      <c r="AO96" s="255"/>
      <c r="AP96" s="255"/>
      <c r="AQ96" s="255"/>
    </row>
    <row r="97" spans="1:43" s="53" customFormat="1" ht="33" customHeight="1" thickBot="1">
      <c r="A97" s="52"/>
      <c r="B97" s="99"/>
      <c r="D97" s="19" t="s">
        <v>65</v>
      </c>
      <c r="E97" s="19" t="s">
        <v>66</v>
      </c>
      <c r="F97" s="19" t="s">
        <v>75</v>
      </c>
      <c r="G97" s="19" t="s">
        <v>81</v>
      </c>
      <c r="J97" s="52"/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  <c r="AE97" s="255"/>
      <c r="AF97" s="255"/>
      <c r="AG97" s="255"/>
      <c r="AH97" s="255"/>
      <c r="AI97" s="255"/>
      <c r="AJ97" s="255"/>
      <c r="AK97" s="255"/>
      <c r="AL97" s="255"/>
      <c r="AM97" s="255"/>
      <c r="AN97" s="255"/>
      <c r="AO97" s="255"/>
      <c r="AP97" s="255"/>
      <c r="AQ97" s="255"/>
    </row>
    <row r="98" spans="1:43" s="53" customFormat="1" ht="18" customHeight="1" thickBot="1">
      <c r="A98" s="52"/>
      <c r="D98" s="57">
        <f>D76/G76*100</f>
        <v>12</v>
      </c>
      <c r="E98" s="58">
        <f>E76/G76*100</f>
        <v>67</v>
      </c>
      <c r="F98" s="59">
        <f>F76/G76*100</f>
        <v>21</v>
      </c>
      <c r="G98" s="60">
        <f>SUM(D98:F98)</f>
        <v>100</v>
      </c>
      <c r="J98" s="52"/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255"/>
      <c r="AE98" s="255"/>
      <c r="AF98" s="255"/>
      <c r="AG98" s="255"/>
      <c r="AH98" s="255"/>
      <c r="AI98" s="255"/>
      <c r="AJ98" s="255"/>
      <c r="AK98" s="255"/>
      <c r="AL98" s="255"/>
      <c r="AM98" s="255"/>
      <c r="AN98" s="255"/>
      <c r="AO98" s="255"/>
      <c r="AP98" s="255"/>
      <c r="AQ98" s="255"/>
    </row>
    <row r="99" spans="1:10" ht="12.75">
      <c r="A99" s="14"/>
      <c r="J99" s="14"/>
    </row>
    <row r="100" spans="1:10" ht="13.5" thickBot="1">
      <c r="A100" s="14"/>
      <c r="J100" s="14"/>
    </row>
    <row r="101" spans="1:43" s="53" customFormat="1" ht="18" customHeight="1" thickBot="1">
      <c r="A101" s="52"/>
      <c r="B101" s="99" t="s">
        <v>83</v>
      </c>
      <c r="D101" s="320" t="s">
        <v>63</v>
      </c>
      <c r="E101" s="321"/>
      <c r="F101" s="322"/>
      <c r="J101" s="52"/>
      <c r="K101" s="255"/>
      <c r="L101" s="255"/>
      <c r="M101" s="255"/>
      <c r="N101" s="255"/>
      <c r="O101" s="255"/>
      <c r="P101" s="255"/>
      <c r="Q101" s="255"/>
      <c r="R101" s="255"/>
      <c r="S101" s="255"/>
      <c r="T101" s="255"/>
      <c r="U101" s="255"/>
      <c r="V101" s="255"/>
      <c r="W101" s="255"/>
      <c r="X101" s="255"/>
      <c r="Y101" s="255"/>
      <c r="Z101" s="255"/>
      <c r="AA101" s="255"/>
      <c r="AB101" s="255"/>
      <c r="AC101" s="255"/>
      <c r="AD101" s="255"/>
      <c r="AE101" s="255"/>
      <c r="AF101" s="255"/>
      <c r="AG101" s="255"/>
      <c r="AH101" s="255"/>
      <c r="AI101" s="255"/>
      <c r="AJ101" s="255"/>
      <c r="AK101" s="255"/>
      <c r="AL101" s="255"/>
      <c r="AM101" s="255"/>
      <c r="AN101" s="255"/>
      <c r="AO101" s="255"/>
      <c r="AP101" s="255"/>
      <c r="AQ101" s="255"/>
    </row>
    <row r="102" spans="1:43" s="53" customFormat="1" ht="32.25" customHeight="1" thickBot="1">
      <c r="A102" s="52"/>
      <c r="B102" s="99"/>
      <c r="D102" s="19" t="s">
        <v>65</v>
      </c>
      <c r="E102" s="19" t="s">
        <v>66</v>
      </c>
      <c r="F102" s="19" t="s">
        <v>75</v>
      </c>
      <c r="G102" s="19" t="s">
        <v>81</v>
      </c>
      <c r="J102" s="52"/>
      <c r="K102" s="255"/>
      <c r="L102" s="255"/>
      <c r="M102" s="255"/>
      <c r="N102" s="255"/>
      <c r="O102" s="255"/>
      <c r="P102" s="255"/>
      <c r="Q102" s="255"/>
      <c r="R102" s="255"/>
      <c r="S102" s="255"/>
      <c r="T102" s="255"/>
      <c r="U102" s="255"/>
      <c r="V102" s="255"/>
      <c r="W102" s="255"/>
      <c r="X102" s="255"/>
      <c r="Y102" s="255"/>
      <c r="Z102" s="255"/>
      <c r="AA102" s="255"/>
      <c r="AB102" s="255"/>
      <c r="AC102" s="255"/>
      <c r="AD102" s="255"/>
      <c r="AE102" s="255"/>
      <c r="AF102" s="255"/>
      <c r="AG102" s="255"/>
      <c r="AH102" s="255"/>
      <c r="AI102" s="255"/>
      <c r="AJ102" s="255"/>
      <c r="AK102" s="255"/>
      <c r="AL102" s="255"/>
      <c r="AM102" s="255"/>
      <c r="AN102" s="255"/>
      <c r="AO102" s="255"/>
      <c r="AP102" s="255"/>
      <c r="AQ102" s="255"/>
    </row>
    <row r="103" spans="1:43" s="53" customFormat="1" ht="18" customHeight="1" thickBot="1">
      <c r="A103" s="52"/>
      <c r="D103" s="61">
        <f>D77/G77*100</f>
        <v>21.333333333333336</v>
      </c>
      <c r="E103" s="62">
        <f>E77/G77*100</f>
        <v>74.66666666666667</v>
      </c>
      <c r="F103" s="63">
        <f>F77/G77*100</f>
        <v>4</v>
      </c>
      <c r="G103" s="60">
        <f>SUM(D103:F103)</f>
        <v>100</v>
      </c>
      <c r="J103" s="52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  <c r="Y103" s="255"/>
      <c r="Z103" s="255"/>
      <c r="AA103" s="255"/>
      <c r="AB103" s="255"/>
      <c r="AC103" s="255"/>
      <c r="AD103" s="255"/>
      <c r="AE103" s="255"/>
      <c r="AF103" s="255"/>
      <c r="AG103" s="255"/>
      <c r="AH103" s="255"/>
      <c r="AI103" s="255"/>
      <c r="AJ103" s="255"/>
      <c r="AK103" s="255"/>
      <c r="AL103" s="255"/>
      <c r="AM103" s="255"/>
      <c r="AN103" s="255"/>
      <c r="AO103" s="255"/>
      <c r="AP103" s="255"/>
      <c r="AQ103" s="255"/>
    </row>
    <row r="104" spans="1:10" ht="12.75">
      <c r="A104" s="14"/>
      <c r="J104" s="14"/>
    </row>
    <row r="105" spans="1:15" ht="15">
      <c r="A105" s="50" t="s">
        <v>19</v>
      </c>
      <c r="B105" s="5" t="s">
        <v>113</v>
      </c>
      <c r="C105" s="5"/>
      <c r="D105" s="5"/>
      <c r="E105" s="5"/>
      <c r="F105" s="5"/>
      <c r="G105" s="5"/>
      <c r="H105" s="5"/>
      <c r="I105" s="5"/>
      <c r="J105" s="257"/>
      <c r="K105" s="254"/>
      <c r="L105" s="254"/>
      <c r="M105" s="254"/>
      <c r="N105" s="254"/>
      <c r="O105" s="254"/>
    </row>
    <row r="106" spans="1:15" ht="15">
      <c r="A106" s="50"/>
      <c r="B106" s="5" t="s">
        <v>112</v>
      </c>
      <c r="C106" s="5"/>
      <c r="D106" s="5"/>
      <c r="E106" s="5"/>
      <c r="F106" s="5"/>
      <c r="G106" s="5"/>
      <c r="H106" s="5"/>
      <c r="I106" s="5"/>
      <c r="J106" s="257"/>
      <c r="K106" s="254"/>
      <c r="L106" s="254"/>
      <c r="M106" s="254"/>
      <c r="N106" s="254"/>
      <c r="O106" s="254"/>
    </row>
    <row r="107" spans="1:10" ht="12.75">
      <c r="A107" s="14"/>
      <c r="J107" s="14"/>
    </row>
    <row r="108" spans="1:15" ht="14.25">
      <c r="A108" s="14"/>
      <c r="C108" s="4" t="s">
        <v>220</v>
      </c>
      <c r="D108" s="4"/>
      <c r="E108" s="4"/>
      <c r="F108" s="4"/>
      <c r="G108" s="4"/>
      <c r="H108" s="4"/>
      <c r="I108" s="4"/>
      <c r="J108" s="258"/>
      <c r="K108" s="252"/>
      <c r="L108" s="252"/>
      <c r="M108" s="252"/>
      <c r="N108" s="252"/>
      <c r="O108" s="252"/>
    </row>
    <row r="109" spans="1:15" ht="14.25">
      <c r="A109" s="14"/>
      <c r="C109" s="4" t="s">
        <v>221</v>
      </c>
      <c r="D109" s="4"/>
      <c r="E109" s="4"/>
      <c r="F109" s="4"/>
      <c r="G109" s="4"/>
      <c r="H109" s="4"/>
      <c r="I109" s="4"/>
      <c r="J109" s="258"/>
      <c r="K109" s="252"/>
      <c r="L109" s="252"/>
      <c r="M109" s="252"/>
      <c r="N109" s="252"/>
      <c r="O109" s="252"/>
    </row>
    <row r="110" spans="1:10" ht="12.75">
      <c r="A110" s="14"/>
      <c r="J110" s="14"/>
    </row>
    <row r="111" spans="1:10" ht="15">
      <c r="A111" s="50" t="s">
        <v>32</v>
      </c>
      <c r="B111" s="5" t="s">
        <v>208</v>
      </c>
      <c r="J111" s="14"/>
    </row>
    <row r="112" spans="1:10" ht="13.5" thickBot="1">
      <c r="A112" s="14"/>
      <c r="J112" s="14"/>
    </row>
    <row r="113" spans="1:10" ht="18" customHeight="1" thickBot="1">
      <c r="A113" s="14"/>
      <c r="C113" s="326" t="s">
        <v>209</v>
      </c>
      <c r="D113" s="327"/>
      <c r="E113" s="327"/>
      <c r="F113" s="302">
        <f>+(E76+E77)/(G76+G77)*100</f>
        <v>71.6</v>
      </c>
      <c r="J113" s="14"/>
    </row>
    <row r="114" spans="1:10" ht="12.75">
      <c r="A114" s="14"/>
      <c r="J114" s="14"/>
    </row>
    <row r="115" spans="1:10" ht="12.75">
      <c r="A115" s="14"/>
      <c r="J115" s="14"/>
    </row>
    <row r="116" spans="1:10" ht="15">
      <c r="A116" s="49" t="s">
        <v>101</v>
      </c>
      <c r="J116" s="14"/>
    </row>
    <row r="117" spans="1:10" ht="6.75" customHeight="1">
      <c r="A117" s="49"/>
      <c r="J117" s="14"/>
    </row>
    <row r="118" spans="1:15" ht="15">
      <c r="A118" s="50" t="s">
        <v>15</v>
      </c>
      <c r="B118" s="5" t="s">
        <v>86</v>
      </c>
      <c r="C118" s="5"/>
      <c r="D118" s="5"/>
      <c r="E118" s="5"/>
      <c r="F118" s="5"/>
      <c r="G118" s="5"/>
      <c r="H118" s="5"/>
      <c r="I118" s="5"/>
      <c r="J118" s="257"/>
      <c r="K118" s="254"/>
      <c r="L118" s="254"/>
      <c r="M118" s="254"/>
      <c r="N118" s="254"/>
      <c r="O118" s="254"/>
    </row>
    <row r="119" spans="1:15" ht="15">
      <c r="A119" s="50" t="s">
        <v>17</v>
      </c>
      <c r="B119" s="5" t="s">
        <v>115</v>
      </c>
      <c r="C119" s="5"/>
      <c r="D119" s="5"/>
      <c r="E119" s="5"/>
      <c r="F119" s="5"/>
      <c r="G119" s="5"/>
      <c r="H119" s="5"/>
      <c r="I119" s="5"/>
      <c r="J119" s="257"/>
      <c r="K119" s="254"/>
      <c r="L119" s="254"/>
      <c r="M119" s="254"/>
      <c r="N119" s="254"/>
      <c r="O119" s="254"/>
    </row>
    <row r="120" spans="1:15" ht="15">
      <c r="A120" s="50"/>
      <c r="B120" s="5" t="s">
        <v>114</v>
      </c>
      <c r="C120" s="5"/>
      <c r="D120" s="5"/>
      <c r="E120" s="5"/>
      <c r="F120" s="5"/>
      <c r="G120" s="5"/>
      <c r="H120" s="5"/>
      <c r="I120" s="5"/>
      <c r="J120" s="257"/>
      <c r="K120" s="254"/>
      <c r="L120" s="254"/>
      <c r="M120" s="254"/>
      <c r="N120" s="254"/>
      <c r="O120" s="254"/>
    </row>
    <row r="121" spans="1:10" ht="13.5" thickBot="1">
      <c r="A121" s="14"/>
      <c r="J121" s="14"/>
    </row>
    <row r="122" spans="1:10" ht="67.5" customHeight="1" thickBot="1">
      <c r="A122" s="14"/>
      <c r="C122" s="29" t="s">
        <v>43</v>
      </c>
      <c r="D122" s="19" t="s">
        <v>94</v>
      </c>
      <c r="E122" s="19" t="s">
        <v>95</v>
      </c>
      <c r="F122" s="34" t="s">
        <v>102</v>
      </c>
      <c r="G122" s="35" t="s">
        <v>197</v>
      </c>
      <c r="J122" s="14"/>
    </row>
    <row r="123" spans="1:43" s="53" customFormat="1" ht="18" customHeight="1">
      <c r="A123" s="52"/>
      <c r="C123" s="68">
        <v>15</v>
      </c>
      <c r="D123" s="69">
        <v>56</v>
      </c>
      <c r="E123" s="70">
        <f>47.893+(0.407*C123)</f>
        <v>53.998</v>
      </c>
      <c r="F123" s="71">
        <f aca="true" t="shared" si="0" ref="F123:F130">(D123-E123)^2</f>
        <v>4.0080040000000094</v>
      </c>
      <c r="G123" s="70">
        <f aca="true" t="shared" si="1" ref="G123:G130">(D123-$D$133)^2</f>
        <v>150.0625</v>
      </c>
      <c r="J123" s="52"/>
      <c r="K123" s="274"/>
      <c r="L123" s="255"/>
      <c r="M123" s="255"/>
      <c r="N123" s="255"/>
      <c r="O123" s="255"/>
      <c r="P123" s="255"/>
      <c r="Q123" s="255"/>
      <c r="R123" s="255"/>
      <c r="S123" s="255"/>
      <c r="T123" s="255"/>
      <c r="U123" s="255"/>
      <c r="V123" s="255"/>
      <c r="W123" s="255"/>
      <c r="X123" s="255"/>
      <c r="Y123" s="255"/>
      <c r="Z123" s="255"/>
      <c r="AA123" s="255"/>
      <c r="AB123" s="255"/>
      <c r="AC123" s="255"/>
      <c r="AD123" s="255"/>
      <c r="AE123" s="255"/>
      <c r="AF123" s="255"/>
      <c r="AG123" s="255"/>
      <c r="AH123" s="255"/>
      <c r="AI123" s="255"/>
      <c r="AJ123" s="255"/>
      <c r="AK123" s="255"/>
      <c r="AL123" s="255"/>
      <c r="AM123" s="255"/>
      <c r="AN123" s="255"/>
      <c r="AO123" s="255"/>
      <c r="AP123" s="255"/>
      <c r="AQ123" s="255"/>
    </row>
    <row r="124" spans="1:43" s="53" customFormat="1" ht="18" customHeight="1">
      <c r="A124" s="52"/>
      <c r="C124" s="72">
        <v>25</v>
      </c>
      <c r="D124" s="73">
        <v>57</v>
      </c>
      <c r="E124" s="74">
        <f>47.893+(0.407*C124)</f>
        <v>58.068</v>
      </c>
      <c r="F124" s="75">
        <f t="shared" si="0"/>
        <v>1.1406239999999954</v>
      </c>
      <c r="G124" s="74">
        <f t="shared" si="1"/>
        <v>126.5625</v>
      </c>
      <c r="J124" s="52"/>
      <c r="K124" s="274"/>
      <c r="L124" s="255"/>
      <c r="M124" s="255"/>
      <c r="N124" s="255"/>
      <c r="O124" s="255"/>
      <c r="P124" s="255"/>
      <c r="Q124" s="255"/>
      <c r="R124" s="255"/>
      <c r="S124" s="255"/>
      <c r="T124" s="255"/>
      <c r="U124" s="255"/>
      <c r="V124" s="255"/>
      <c r="W124" s="255"/>
      <c r="X124" s="255"/>
      <c r="Y124" s="255"/>
      <c r="Z124" s="255"/>
      <c r="AA124" s="255"/>
      <c r="AB124" s="255"/>
      <c r="AC124" s="255"/>
      <c r="AD124" s="255"/>
      <c r="AE124" s="255"/>
      <c r="AF124" s="255"/>
      <c r="AG124" s="255"/>
      <c r="AH124" s="255"/>
      <c r="AI124" s="255"/>
      <c r="AJ124" s="255"/>
      <c r="AK124" s="255"/>
      <c r="AL124" s="255"/>
      <c r="AM124" s="255"/>
      <c r="AN124" s="255"/>
      <c r="AO124" s="255"/>
      <c r="AP124" s="255"/>
      <c r="AQ124" s="255"/>
    </row>
    <row r="125" spans="1:43" s="53" customFormat="1" ht="18" customHeight="1">
      <c r="A125" s="52"/>
      <c r="C125" s="72">
        <v>35</v>
      </c>
      <c r="D125" s="73">
        <v>64</v>
      </c>
      <c r="E125" s="74">
        <f>47.893+(0.407*C125)</f>
        <v>62.138</v>
      </c>
      <c r="F125" s="75">
        <f t="shared" si="0"/>
        <v>3.467044000000007</v>
      </c>
      <c r="G125" s="74">
        <f t="shared" si="1"/>
        <v>18.0625</v>
      </c>
      <c r="J125" s="52"/>
      <c r="K125" s="274"/>
      <c r="L125" s="255"/>
      <c r="M125" s="255"/>
      <c r="N125" s="255"/>
      <c r="O125" s="255"/>
      <c r="P125" s="255"/>
      <c r="Q125" s="255"/>
      <c r="R125" s="255"/>
      <c r="S125" s="255"/>
      <c r="T125" s="255"/>
      <c r="U125" s="255"/>
      <c r="V125" s="255"/>
      <c r="W125" s="255"/>
      <c r="X125" s="255"/>
      <c r="Y125" s="255"/>
      <c r="Z125" s="255"/>
      <c r="AA125" s="255"/>
      <c r="AB125" s="255"/>
      <c r="AC125" s="255"/>
      <c r="AD125" s="255"/>
      <c r="AE125" s="255"/>
      <c r="AF125" s="255"/>
      <c r="AG125" s="255"/>
      <c r="AH125" s="255"/>
      <c r="AI125" s="255"/>
      <c r="AJ125" s="255"/>
      <c r="AK125" s="255"/>
      <c r="AL125" s="255"/>
      <c r="AM125" s="255"/>
      <c r="AN125" s="255"/>
      <c r="AO125" s="255"/>
      <c r="AP125" s="255"/>
      <c r="AQ125" s="255"/>
    </row>
    <row r="126" spans="1:43" s="53" customFormat="1" ht="18" customHeight="1">
      <c r="A126" s="52"/>
      <c r="C126" s="72">
        <v>45</v>
      </c>
      <c r="D126" s="73">
        <v>64</v>
      </c>
      <c r="E126" s="74">
        <f>47.893+(C126*0.407)</f>
        <v>66.208</v>
      </c>
      <c r="F126" s="75">
        <f t="shared" si="0"/>
        <v>4.875263999999993</v>
      </c>
      <c r="G126" s="74">
        <f t="shared" si="1"/>
        <v>18.0625</v>
      </c>
      <c r="J126" s="52"/>
      <c r="K126" s="274"/>
      <c r="L126" s="255"/>
      <c r="M126" s="255"/>
      <c r="N126" s="255"/>
      <c r="O126" s="255"/>
      <c r="P126" s="255"/>
      <c r="Q126" s="255"/>
      <c r="R126" s="255"/>
      <c r="S126" s="255"/>
      <c r="T126" s="255"/>
      <c r="U126" s="255"/>
      <c r="V126" s="255"/>
      <c r="W126" s="255"/>
      <c r="X126" s="255"/>
      <c r="Y126" s="255"/>
      <c r="Z126" s="255"/>
      <c r="AA126" s="255"/>
      <c r="AB126" s="255"/>
      <c r="AC126" s="255"/>
      <c r="AD126" s="255"/>
      <c r="AE126" s="255"/>
      <c r="AF126" s="255"/>
      <c r="AG126" s="255"/>
      <c r="AH126" s="255"/>
      <c r="AI126" s="255"/>
      <c r="AJ126" s="255"/>
      <c r="AK126" s="255"/>
      <c r="AL126" s="255"/>
      <c r="AM126" s="255"/>
      <c r="AN126" s="255"/>
      <c r="AO126" s="255"/>
      <c r="AP126" s="255"/>
      <c r="AQ126" s="255"/>
    </row>
    <row r="127" spans="1:43" s="53" customFormat="1" ht="18" customHeight="1">
      <c r="A127" s="52"/>
      <c r="C127" s="72">
        <v>55</v>
      </c>
      <c r="D127" s="73">
        <v>68</v>
      </c>
      <c r="E127" s="74">
        <f>47.893+(C127*0.407)</f>
        <v>70.27799999999999</v>
      </c>
      <c r="F127" s="75">
        <f t="shared" si="0"/>
        <v>5.189283999999962</v>
      </c>
      <c r="G127" s="74">
        <f t="shared" si="1"/>
        <v>0.0625</v>
      </c>
      <c r="J127" s="52"/>
      <c r="K127" s="274"/>
      <c r="L127" s="255"/>
      <c r="M127" s="255"/>
      <c r="N127" s="255"/>
      <c r="O127" s="255"/>
      <c r="P127" s="255"/>
      <c r="Q127" s="255"/>
      <c r="R127" s="255"/>
      <c r="S127" s="255"/>
      <c r="T127" s="255"/>
      <c r="U127" s="255"/>
      <c r="V127" s="255"/>
      <c r="W127" s="255"/>
      <c r="X127" s="255"/>
      <c r="Y127" s="255"/>
      <c r="Z127" s="255"/>
      <c r="AA127" s="255"/>
      <c r="AB127" s="255"/>
      <c r="AC127" s="255"/>
      <c r="AD127" s="255"/>
      <c r="AE127" s="255"/>
      <c r="AF127" s="255"/>
      <c r="AG127" s="255"/>
      <c r="AH127" s="255"/>
      <c r="AI127" s="255"/>
      <c r="AJ127" s="255"/>
      <c r="AK127" s="255"/>
      <c r="AL127" s="255"/>
      <c r="AM127" s="255"/>
      <c r="AN127" s="255"/>
      <c r="AO127" s="255"/>
      <c r="AP127" s="255"/>
      <c r="AQ127" s="255"/>
    </row>
    <row r="128" spans="1:43" s="53" customFormat="1" ht="18" customHeight="1">
      <c r="A128" s="52"/>
      <c r="C128" s="72">
        <v>65</v>
      </c>
      <c r="D128" s="73">
        <v>74</v>
      </c>
      <c r="E128" s="74">
        <f>47.893+(C128*0.407)</f>
        <v>74.348</v>
      </c>
      <c r="F128" s="75">
        <f t="shared" si="0"/>
        <v>0.12110399999999928</v>
      </c>
      <c r="G128" s="74">
        <f t="shared" si="1"/>
        <v>33.0625</v>
      </c>
      <c r="J128" s="52"/>
      <c r="K128" s="274"/>
      <c r="L128" s="255"/>
      <c r="M128" s="255"/>
      <c r="N128" s="255"/>
      <c r="O128" s="255"/>
      <c r="P128" s="255"/>
      <c r="Q128" s="255"/>
      <c r="R128" s="255"/>
      <c r="S128" s="255"/>
      <c r="T128" s="255"/>
      <c r="U128" s="255"/>
      <c r="V128" s="255"/>
      <c r="W128" s="255"/>
      <c r="X128" s="255"/>
      <c r="Y128" s="255"/>
      <c r="Z128" s="255"/>
      <c r="AA128" s="255"/>
      <c r="AB128" s="255"/>
      <c r="AC128" s="255"/>
      <c r="AD128" s="255"/>
      <c r="AE128" s="255"/>
      <c r="AF128" s="255"/>
      <c r="AG128" s="255"/>
      <c r="AH128" s="255"/>
      <c r="AI128" s="255"/>
      <c r="AJ128" s="255"/>
      <c r="AK128" s="255"/>
      <c r="AL128" s="255"/>
      <c r="AM128" s="255"/>
      <c r="AN128" s="255"/>
      <c r="AO128" s="255"/>
      <c r="AP128" s="255"/>
      <c r="AQ128" s="255"/>
    </row>
    <row r="129" spans="1:43" s="53" customFormat="1" ht="18" customHeight="1">
      <c r="A129" s="52"/>
      <c r="C129" s="72">
        <v>75</v>
      </c>
      <c r="D129" s="73">
        <v>78</v>
      </c>
      <c r="E129" s="74">
        <f>47.893+(0.407*C129)</f>
        <v>78.418</v>
      </c>
      <c r="F129" s="75">
        <f t="shared" si="0"/>
        <v>0.17472400000000532</v>
      </c>
      <c r="G129" s="74">
        <f t="shared" si="1"/>
        <v>95.0625</v>
      </c>
      <c r="J129" s="52"/>
      <c r="K129" s="274"/>
      <c r="L129" s="255"/>
      <c r="M129" s="255"/>
      <c r="N129" s="255"/>
      <c r="O129" s="255"/>
      <c r="P129" s="255"/>
      <c r="Q129" s="255"/>
      <c r="R129" s="255"/>
      <c r="S129" s="255"/>
      <c r="T129" s="255"/>
      <c r="U129" s="255"/>
      <c r="V129" s="255"/>
      <c r="W129" s="255"/>
      <c r="X129" s="255"/>
      <c r="Y129" s="255"/>
      <c r="Z129" s="255"/>
      <c r="AA129" s="255"/>
      <c r="AB129" s="255"/>
      <c r="AC129" s="255"/>
      <c r="AD129" s="255"/>
      <c r="AE129" s="255"/>
      <c r="AF129" s="255"/>
      <c r="AG129" s="255"/>
      <c r="AH129" s="255"/>
      <c r="AI129" s="255"/>
      <c r="AJ129" s="255"/>
      <c r="AK129" s="255"/>
      <c r="AL129" s="255"/>
      <c r="AM129" s="255"/>
      <c r="AN129" s="255"/>
      <c r="AO129" s="255"/>
      <c r="AP129" s="255"/>
      <c r="AQ129" s="255"/>
    </row>
    <row r="130" spans="1:43" s="53" customFormat="1" ht="18" customHeight="1" thickBot="1">
      <c r="A130" s="52"/>
      <c r="C130" s="76">
        <v>85</v>
      </c>
      <c r="D130" s="77">
        <v>85</v>
      </c>
      <c r="E130" s="78">
        <f>47.893+(0.407*C130)</f>
        <v>82.488</v>
      </c>
      <c r="F130" s="79">
        <f t="shared" si="0"/>
        <v>6.310144000000002</v>
      </c>
      <c r="G130" s="78">
        <f t="shared" si="1"/>
        <v>280.5625</v>
      </c>
      <c r="J130" s="52"/>
      <c r="K130" s="274"/>
      <c r="L130" s="255"/>
      <c r="M130" s="255"/>
      <c r="N130" s="255"/>
      <c r="O130" s="255"/>
      <c r="P130" s="255"/>
      <c r="Q130" s="255"/>
      <c r="R130" s="255"/>
      <c r="S130" s="255"/>
      <c r="T130" s="255"/>
      <c r="U130" s="255"/>
      <c r="V130" s="255"/>
      <c r="W130" s="255"/>
      <c r="X130" s="255"/>
      <c r="Y130" s="255"/>
      <c r="Z130" s="255"/>
      <c r="AA130" s="255"/>
      <c r="AB130" s="255"/>
      <c r="AC130" s="255"/>
      <c r="AD130" s="255"/>
      <c r="AE130" s="255"/>
      <c r="AF130" s="255"/>
      <c r="AG130" s="255"/>
      <c r="AH130" s="255"/>
      <c r="AI130" s="255"/>
      <c r="AJ130" s="255"/>
      <c r="AK130" s="255"/>
      <c r="AL130" s="255"/>
      <c r="AM130" s="255"/>
      <c r="AN130" s="255"/>
      <c r="AO130" s="255"/>
      <c r="AP130" s="255"/>
      <c r="AQ130" s="255"/>
    </row>
    <row r="131" spans="1:43" s="53" customFormat="1" ht="18" customHeight="1" thickBot="1">
      <c r="A131" s="52"/>
      <c r="C131" s="60" t="s">
        <v>28</v>
      </c>
      <c r="D131" s="60">
        <f>SUM(D123:D130)</f>
        <v>546</v>
      </c>
      <c r="E131" s="303"/>
      <c r="F131" s="66">
        <f>SUM(F123:F130)</f>
        <v>25.28619199999997</v>
      </c>
      <c r="G131" s="67">
        <f>SUM(G123:G130)</f>
        <v>721.5</v>
      </c>
      <c r="J131" s="52"/>
      <c r="K131" s="255"/>
      <c r="L131" s="255"/>
      <c r="M131" s="255"/>
      <c r="N131" s="255"/>
      <c r="O131" s="255"/>
      <c r="P131" s="255"/>
      <c r="Q131" s="255"/>
      <c r="R131" s="255"/>
      <c r="S131" s="255"/>
      <c r="T131" s="255"/>
      <c r="U131" s="255"/>
      <c r="V131" s="255"/>
      <c r="W131" s="255"/>
      <c r="X131" s="255"/>
      <c r="Y131" s="255"/>
      <c r="Z131" s="255"/>
      <c r="AA131" s="255"/>
      <c r="AB131" s="255"/>
      <c r="AC131" s="255"/>
      <c r="AD131" s="255"/>
      <c r="AE131" s="255"/>
      <c r="AF131" s="255"/>
      <c r="AG131" s="255"/>
      <c r="AH131" s="255"/>
      <c r="AI131" s="255"/>
      <c r="AJ131" s="255"/>
      <c r="AK131" s="255"/>
      <c r="AL131" s="255"/>
      <c r="AM131" s="255"/>
      <c r="AN131" s="255"/>
      <c r="AO131" s="255"/>
      <c r="AP131" s="255"/>
      <c r="AQ131" s="255"/>
    </row>
    <row r="132" spans="1:10" ht="12.75">
      <c r="A132" s="14"/>
      <c r="J132" s="14"/>
    </row>
    <row r="133" spans="1:10" ht="15">
      <c r="A133" s="14"/>
      <c r="C133" s="32" t="s">
        <v>198</v>
      </c>
      <c r="D133" s="108">
        <f>D131/8</f>
        <v>68.25</v>
      </c>
      <c r="J133" s="14"/>
    </row>
    <row r="134" spans="1:10" ht="15">
      <c r="A134" s="14"/>
      <c r="C134" s="32"/>
      <c r="D134" s="108"/>
      <c r="J134" s="14"/>
    </row>
    <row r="135" spans="1:10" ht="15.75">
      <c r="A135" s="14"/>
      <c r="C135" s="319" t="s">
        <v>210</v>
      </c>
      <c r="D135" s="319"/>
      <c r="E135" s="319"/>
      <c r="F135" s="319"/>
      <c r="G135" s="275">
        <f>1-(F131/G131)</f>
        <v>0.9649533028413029</v>
      </c>
      <c r="J135" s="14"/>
    </row>
    <row r="136" spans="1:10" ht="12.75">
      <c r="A136" s="14"/>
      <c r="J136" s="14"/>
    </row>
    <row r="137" spans="1:10" ht="13.5">
      <c r="A137" s="14"/>
      <c r="C137" s="4" t="s">
        <v>87</v>
      </c>
      <c r="D137" s="4"/>
      <c r="E137" s="4"/>
      <c r="F137" s="4"/>
      <c r="G137" s="4"/>
      <c r="J137" s="14"/>
    </row>
    <row r="138" spans="1:10" ht="12.75">
      <c r="A138" s="14"/>
      <c r="J138" s="14"/>
    </row>
    <row r="139" spans="1:17" ht="15">
      <c r="A139" s="50" t="s">
        <v>19</v>
      </c>
      <c r="B139" s="5" t="s">
        <v>88</v>
      </c>
      <c r="C139" s="5"/>
      <c r="D139" s="5"/>
      <c r="E139" s="5"/>
      <c r="F139" s="5"/>
      <c r="G139" s="5"/>
      <c r="H139" s="5"/>
      <c r="I139" s="5"/>
      <c r="J139" s="257"/>
      <c r="K139" s="254"/>
      <c r="L139" s="286"/>
      <c r="M139" s="286"/>
      <c r="N139" s="286"/>
      <c r="O139" s="286"/>
      <c r="P139" s="287"/>
      <c r="Q139" s="287"/>
    </row>
    <row r="140" spans="1:17" ht="13.5" thickBot="1">
      <c r="A140" s="14"/>
      <c r="J140" s="14"/>
      <c r="L140" s="287"/>
      <c r="M140" s="287"/>
      <c r="N140" s="287"/>
      <c r="O140" s="287"/>
      <c r="P140" s="287"/>
      <c r="Q140" s="287"/>
    </row>
    <row r="141" spans="1:17" ht="34.5" customHeight="1" thickBot="1">
      <c r="A141" s="14"/>
      <c r="C141" s="19" t="s">
        <v>205</v>
      </c>
      <c r="D141" s="34" t="s">
        <v>159</v>
      </c>
      <c r="E141" s="31" t="s">
        <v>96</v>
      </c>
      <c r="F141" s="30" t="s">
        <v>97</v>
      </c>
      <c r="G141" s="31" t="s">
        <v>202</v>
      </c>
      <c r="J141" s="14"/>
      <c r="L141" s="288"/>
      <c r="M141" s="288"/>
      <c r="N141" s="288"/>
      <c r="O141" s="288"/>
      <c r="P141" s="288"/>
      <c r="Q141" s="288"/>
    </row>
    <row r="142" spans="1:43" s="53" customFormat="1" ht="18" customHeight="1">
      <c r="A142" s="52"/>
      <c r="C142" s="211">
        <v>56</v>
      </c>
      <c r="D142" s="211">
        <v>1</v>
      </c>
      <c r="E142" s="291">
        <f aca="true" t="shared" si="2" ref="E142:E148">D142/$D$149</f>
        <v>0.125</v>
      </c>
      <c r="F142" s="292">
        <f>E142</f>
        <v>0.125</v>
      </c>
      <c r="G142" s="293">
        <f>+D142</f>
        <v>1</v>
      </c>
      <c r="J142" s="52"/>
      <c r="K142" s="255"/>
      <c r="L142" s="289"/>
      <c r="M142" s="278"/>
      <c r="N142" s="278"/>
      <c r="O142" s="278"/>
      <c r="P142" s="278"/>
      <c r="Q142" s="278"/>
      <c r="R142" s="255"/>
      <c r="S142" s="255"/>
      <c r="T142" s="255"/>
      <c r="U142" s="255"/>
      <c r="V142" s="255"/>
      <c r="W142" s="255"/>
      <c r="X142" s="255"/>
      <c r="Y142" s="255"/>
      <c r="Z142" s="255"/>
      <c r="AA142" s="255"/>
      <c r="AB142" s="255"/>
      <c r="AC142" s="255"/>
      <c r="AD142" s="255"/>
      <c r="AE142" s="255"/>
      <c r="AF142" s="255"/>
      <c r="AG142" s="255"/>
      <c r="AH142" s="255"/>
      <c r="AI142" s="255"/>
      <c r="AJ142" s="255"/>
      <c r="AK142" s="255"/>
      <c r="AL142" s="255"/>
      <c r="AM142" s="255"/>
      <c r="AN142" s="255"/>
      <c r="AO142" s="255"/>
      <c r="AP142" s="255"/>
      <c r="AQ142" s="255"/>
    </row>
    <row r="143" spans="1:43" s="53" customFormat="1" ht="18" customHeight="1">
      <c r="A143" s="52"/>
      <c r="C143" s="214">
        <v>57</v>
      </c>
      <c r="D143" s="214">
        <v>1</v>
      </c>
      <c r="E143" s="294">
        <f t="shared" si="2"/>
        <v>0.125</v>
      </c>
      <c r="F143" s="295">
        <f aca="true" t="shared" si="3" ref="F143:F148">F142+E143</f>
        <v>0.25</v>
      </c>
      <c r="G143" s="296">
        <f aca="true" t="shared" si="4" ref="G143:G148">+G142+D143</f>
        <v>2</v>
      </c>
      <c r="J143" s="52"/>
      <c r="K143" s="255"/>
      <c r="L143" s="289"/>
      <c r="M143" s="278"/>
      <c r="N143" s="278"/>
      <c r="O143" s="278"/>
      <c r="P143" s="278"/>
      <c r="Q143" s="278"/>
      <c r="R143" s="255"/>
      <c r="S143" s="255"/>
      <c r="T143" s="255"/>
      <c r="U143" s="255"/>
      <c r="V143" s="255"/>
      <c r="W143" s="255"/>
      <c r="X143" s="255"/>
      <c r="Y143" s="255"/>
      <c r="Z143" s="255"/>
      <c r="AA143" s="255"/>
      <c r="AB143" s="255"/>
      <c r="AC143" s="255"/>
      <c r="AD143" s="255"/>
      <c r="AE143" s="255"/>
      <c r="AF143" s="255"/>
      <c r="AG143" s="255"/>
      <c r="AH143" s="255"/>
      <c r="AI143" s="255"/>
      <c r="AJ143" s="255"/>
      <c r="AK143" s="255"/>
      <c r="AL143" s="255"/>
      <c r="AM143" s="255"/>
      <c r="AN143" s="255"/>
      <c r="AO143" s="255"/>
      <c r="AP143" s="255"/>
      <c r="AQ143" s="255"/>
    </row>
    <row r="144" spans="1:43" s="53" customFormat="1" ht="18" customHeight="1">
      <c r="A144" s="52"/>
      <c r="C144" s="214">
        <v>64</v>
      </c>
      <c r="D144" s="214">
        <v>2</v>
      </c>
      <c r="E144" s="294">
        <f t="shared" si="2"/>
        <v>0.25</v>
      </c>
      <c r="F144" s="295">
        <f t="shared" si="3"/>
        <v>0.5</v>
      </c>
      <c r="G144" s="296">
        <f t="shared" si="4"/>
        <v>4</v>
      </c>
      <c r="J144" s="52"/>
      <c r="K144" s="255"/>
      <c r="L144" s="289"/>
      <c r="M144" s="278"/>
      <c r="N144" s="278"/>
      <c r="O144" s="278"/>
      <c r="P144" s="278"/>
      <c r="Q144" s="278"/>
      <c r="R144" s="255"/>
      <c r="S144" s="255"/>
      <c r="T144" s="255"/>
      <c r="U144" s="255"/>
      <c r="V144" s="255"/>
      <c r="W144" s="255"/>
      <c r="X144" s="255"/>
      <c r="Y144" s="255"/>
      <c r="Z144" s="255"/>
      <c r="AA144" s="255"/>
      <c r="AB144" s="255"/>
      <c r="AC144" s="255"/>
      <c r="AD144" s="255"/>
      <c r="AE144" s="255"/>
      <c r="AF144" s="255"/>
      <c r="AG144" s="255"/>
      <c r="AH144" s="255"/>
      <c r="AI144" s="255"/>
      <c r="AJ144" s="255"/>
      <c r="AK144" s="255"/>
      <c r="AL144" s="255"/>
      <c r="AM144" s="255"/>
      <c r="AN144" s="255"/>
      <c r="AO144" s="255"/>
      <c r="AP144" s="255"/>
      <c r="AQ144" s="255"/>
    </row>
    <row r="145" spans="1:43" s="53" customFormat="1" ht="18" customHeight="1">
      <c r="A145" s="52"/>
      <c r="C145" s="214">
        <v>68</v>
      </c>
      <c r="D145" s="214">
        <v>1</v>
      </c>
      <c r="E145" s="294">
        <f t="shared" si="2"/>
        <v>0.125</v>
      </c>
      <c r="F145" s="295">
        <f t="shared" si="3"/>
        <v>0.625</v>
      </c>
      <c r="G145" s="296">
        <f t="shared" si="4"/>
        <v>5</v>
      </c>
      <c r="J145" s="52"/>
      <c r="K145" s="255"/>
      <c r="L145" s="289"/>
      <c r="M145" s="278"/>
      <c r="N145" s="278"/>
      <c r="O145" s="278"/>
      <c r="P145" s="278"/>
      <c r="Q145" s="278"/>
      <c r="R145" s="255"/>
      <c r="S145" s="255"/>
      <c r="T145" s="255"/>
      <c r="U145" s="255"/>
      <c r="V145" s="255"/>
      <c r="W145" s="255"/>
      <c r="X145" s="255"/>
      <c r="Y145" s="255"/>
      <c r="Z145" s="255"/>
      <c r="AA145" s="255"/>
      <c r="AB145" s="255"/>
      <c r="AC145" s="255"/>
      <c r="AD145" s="255"/>
      <c r="AE145" s="255"/>
      <c r="AF145" s="255"/>
      <c r="AG145" s="255"/>
      <c r="AH145" s="255"/>
      <c r="AI145" s="255"/>
      <c r="AJ145" s="255"/>
      <c r="AK145" s="255"/>
      <c r="AL145" s="255"/>
      <c r="AM145" s="255"/>
      <c r="AN145" s="255"/>
      <c r="AO145" s="255"/>
      <c r="AP145" s="255"/>
      <c r="AQ145" s="255"/>
    </row>
    <row r="146" spans="1:43" s="53" customFormat="1" ht="18" customHeight="1">
      <c r="A146" s="52"/>
      <c r="C146" s="214">
        <v>74</v>
      </c>
      <c r="D146" s="214">
        <v>1</v>
      </c>
      <c r="E146" s="294">
        <f t="shared" si="2"/>
        <v>0.125</v>
      </c>
      <c r="F146" s="295">
        <f t="shared" si="3"/>
        <v>0.75</v>
      </c>
      <c r="G146" s="296">
        <f t="shared" si="4"/>
        <v>6</v>
      </c>
      <c r="J146" s="52"/>
      <c r="K146" s="255"/>
      <c r="L146" s="289"/>
      <c r="M146" s="278"/>
      <c r="N146" s="278"/>
      <c r="O146" s="278"/>
      <c r="P146" s="278"/>
      <c r="Q146" s="278"/>
      <c r="R146" s="255"/>
      <c r="S146" s="255"/>
      <c r="T146" s="255"/>
      <c r="U146" s="255"/>
      <c r="V146" s="255"/>
      <c r="W146" s="255"/>
      <c r="X146" s="255"/>
      <c r="Y146" s="255"/>
      <c r="Z146" s="255"/>
      <c r="AA146" s="255"/>
      <c r="AB146" s="255"/>
      <c r="AC146" s="255"/>
      <c r="AD146" s="255"/>
      <c r="AE146" s="255"/>
      <c r="AF146" s="255"/>
      <c r="AG146" s="255"/>
      <c r="AH146" s="255"/>
      <c r="AI146" s="255"/>
      <c r="AJ146" s="255"/>
      <c r="AK146" s="255"/>
      <c r="AL146" s="255"/>
      <c r="AM146" s="255"/>
      <c r="AN146" s="255"/>
      <c r="AO146" s="255"/>
      <c r="AP146" s="255"/>
      <c r="AQ146" s="255"/>
    </row>
    <row r="147" spans="1:43" s="53" customFormat="1" ht="18" customHeight="1">
      <c r="A147" s="52"/>
      <c r="C147" s="214">
        <v>78</v>
      </c>
      <c r="D147" s="214">
        <v>1</v>
      </c>
      <c r="E147" s="294">
        <f t="shared" si="2"/>
        <v>0.125</v>
      </c>
      <c r="F147" s="295">
        <f t="shared" si="3"/>
        <v>0.875</v>
      </c>
      <c r="G147" s="296">
        <f t="shared" si="4"/>
        <v>7</v>
      </c>
      <c r="J147" s="52"/>
      <c r="K147" s="255"/>
      <c r="L147" s="289"/>
      <c r="M147" s="278"/>
      <c r="N147" s="278"/>
      <c r="O147" s="278"/>
      <c r="P147" s="278"/>
      <c r="Q147" s="278"/>
      <c r="R147" s="255"/>
      <c r="S147" s="255"/>
      <c r="T147" s="255"/>
      <c r="U147" s="255"/>
      <c r="V147" s="255"/>
      <c r="W147" s="255"/>
      <c r="X147" s="255"/>
      <c r="Y147" s="255"/>
      <c r="Z147" s="255"/>
      <c r="AA147" s="255"/>
      <c r="AB147" s="255"/>
      <c r="AC147" s="255"/>
      <c r="AD147" s="255"/>
      <c r="AE147" s="255"/>
      <c r="AF147" s="255"/>
      <c r="AG147" s="255"/>
      <c r="AH147" s="255"/>
      <c r="AI147" s="255"/>
      <c r="AJ147" s="255"/>
      <c r="AK147" s="255"/>
      <c r="AL147" s="255"/>
      <c r="AM147" s="255"/>
      <c r="AN147" s="255"/>
      <c r="AO147" s="255"/>
      <c r="AP147" s="255"/>
      <c r="AQ147" s="255"/>
    </row>
    <row r="148" spans="1:43" s="53" customFormat="1" ht="18" customHeight="1" thickBot="1">
      <c r="A148" s="52"/>
      <c r="C148" s="216">
        <v>85</v>
      </c>
      <c r="D148" s="214">
        <v>1</v>
      </c>
      <c r="E148" s="294">
        <f t="shared" si="2"/>
        <v>0.125</v>
      </c>
      <c r="F148" s="297">
        <f t="shared" si="3"/>
        <v>1</v>
      </c>
      <c r="G148" s="298">
        <f t="shared" si="4"/>
        <v>8</v>
      </c>
      <c r="J148" s="52"/>
      <c r="K148" s="255"/>
      <c r="L148" s="289"/>
      <c r="M148" s="278"/>
      <c r="N148" s="278"/>
      <c r="O148" s="278"/>
      <c r="P148" s="278"/>
      <c r="Q148" s="278"/>
      <c r="R148" s="255"/>
      <c r="S148" s="255"/>
      <c r="T148" s="255"/>
      <c r="U148" s="255"/>
      <c r="V148" s="255"/>
      <c r="W148" s="255"/>
      <c r="X148" s="255"/>
      <c r="Y148" s="255"/>
      <c r="Z148" s="255"/>
      <c r="AA148" s="255"/>
      <c r="AB148" s="255"/>
      <c r="AC148" s="255"/>
      <c r="AD148" s="255"/>
      <c r="AE148" s="255"/>
      <c r="AF148" s="255"/>
      <c r="AG148" s="255"/>
      <c r="AH148" s="255"/>
      <c r="AI148" s="255"/>
      <c r="AJ148" s="255"/>
      <c r="AK148" s="255"/>
      <c r="AL148" s="255"/>
      <c r="AM148" s="255"/>
      <c r="AN148" s="255"/>
      <c r="AO148" s="255"/>
      <c r="AP148" s="255"/>
      <c r="AQ148" s="255"/>
    </row>
    <row r="149" spans="1:43" s="53" customFormat="1" ht="18" customHeight="1" thickBot="1">
      <c r="A149" s="52"/>
      <c r="C149" s="245"/>
      <c r="D149" s="285">
        <f>SUM(D142:D148)</f>
        <v>8</v>
      </c>
      <c r="E149" s="285">
        <f>SUM(E142:E148)</f>
        <v>1</v>
      </c>
      <c r="F149" s="277"/>
      <c r="G149" s="255"/>
      <c r="J149" s="52"/>
      <c r="K149" s="255"/>
      <c r="L149" s="245"/>
      <c r="M149" s="245"/>
      <c r="N149" s="245"/>
      <c r="O149" s="278"/>
      <c r="P149" s="278"/>
      <c r="Q149" s="278"/>
      <c r="R149" s="255"/>
      <c r="S149" s="255"/>
      <c r="T149" s="255"/>
      <c r="U149" s="255"/>
      <c r="V149" s="255"/>
      <c r="W149" s="255"/>
      <c r="X149" s="255"/>
      <c r="Y149" s="255"/>
      <c r="Z149" s="255"/>
      <c r="AA149" s="255"/>
      <c r="AB149" s="255"/>
      <c r="AC149" s="255"/>
      <c r="AD149" s="255"/>
      <c r="AE149" s="255"/>
      <c r="AF149" s="255"/>
      <c r="AG149" s="255"/>
      <c r="AH149" s="255"/>
      <c r="AI149" s="255"/>
      <c r="AJ149" s="255"/>
      <c r="AK149" s="255"/>
      <c r="AL149" s="255"/>
      <c r="AM149" s="255"/>
      <c r="AN149" s="255"/>
      <c r="AO149" s="255"/>
      <c r="AP149" s="255"/>
      <c r="AQ149" s="255"/>
    </row>
    <row r="150" spans="1:43" s="53" customFormat="1" ht="18" customHeight="1">
      <c r="A150" s="52"/>
      <c r="E150" s="271"/>
      <c r="F150" s="278"/>
      <c r="G150" s="255"/>
      <c r="J150" s="52"/>
      <c r="K150" s="255"/>
      <c r="L150" s="278"/>
      <c r="M150" s="278"/>
      <c r="N150" s="278"/>
      <c r="O150" s="278"/>
      <c r="P150" s="278"/>
      <c r="Q150" s="278"/>
      <c r="R150" s="255"/>
      <c r="S150" s="255"/>
      <c r="T150" s="255"/>
      <c r="U150" s="255"/>
      <c r="V150" s="255"/>
      <c r="W150" s="255"/>
      <c r="X150" s="255"/>
      <c r="Y150" s="255"/>
      <c r="Z150" s="255"/>
      <c r="AA150" s="255"/>
      <c r="AB150" s="255"/>
      <c r="AC150" s="255"/>
      <c r="AD150" s="255"/>
      <c r="AE150" s="255"/>
      <c r="AF150" s="255"/>
      <c r="AG150" s="255"/>
      <c r="AH150" s="255"/>
      <c r="AI150" s="255"/>
      <c r="AJ150" s="255"/>
      <c r="AK150" s="255"/>
      <c r="AL150" s="255"/>
      <c r="AM150" s="255"/>
      <c r="AN150" s="255"/>
      <c r="AO150" s="255"/>
      <c r="AP150" s="255"/>
      <c r="AQ150" s="255"/>
    </row>
    <row r="151" spans="1:43" s="53" customFormat="1" ht="18" customHeight="1">
      <c r="A151" s="52"/>
      <c r="C151" s="53" t="s">
        <v>203</v>
      </c>
      <c r="D151" s="281" t="s">
        <v>228</v>
      </c>
      <c r="E151" s="282">
        <f>(C143+C144)/2</f>
        <v>60.5</v>
      </c>
      <c r="J151" s="52"/>
      <c r="K151" s="255"/>
      <c r="L151" s="278"/>
      <c r="M151" s="278"/>
      <c r="N151" s="278"/>
      <c r="O151" s="278"/>
      <c r="P151" s="278"/>
      <c r="Q151" s="278"/>
      <c r="R151" s="255"/>
      <c r="S151" s="255"/>
      <c r="T151" s="255"/>
      <c r="U151" s="255"/>
      <c r="V151" s="255"/>
      <c r="W151" s="255"/>
      <c r="X151" s="255"/>
      <c r="Y151" s="255"/>
      <c r="Z151" s="255"/>
      <c r="AA151" s="255"/>
      <c r="AB151" s="255"/>
      <c r="AC151" s="255"/>
      <c r="AD151" s="255"/>
      <c r="AE151" s="255"/>
      <c r="AF151" s="255"/>
      <c r="AG151" s="255"/>
      <c r="AH151" s="255"/>
      <c r="AI151" s="255"/>
      <c r="AJ151" s="255"/>
      <c r="AK151" s="255"/>
      <c r="AL151" s="255"/>
      <c r="AM151" s="255"/>
      <c r="AN151" s="255"/>
      <c r="AO151" s="255"/>
      <c r="AP151" s="255"/>
      <c r="AQ151" s="255"/>
    </row>
    <row r="152" spans="1:43" s="53" customFormat="1" ht="18" customHeight="1">
      <c r="A152" s="52"/>
      <c r="D152" s="279"/>
      <c r="E152" s="280"/>
      <c r="F152" s="283"/>
      <c r="G152" s="284"/>
      <c r="J152" s="52"/>
      <c r="K152" s="255"/>
      <c r="L152" s="278"/>
      <c r="M152" s="278"/>
      <c r="N152" s="278"/>
      <c r="O152" s="278"/>
      <c r="P152" s="278"/>
      <c r="Q152" s="278"/>
      <c r="R152" s="255"/>
      <c r="S152" s="255"/>
      <c r="T152" s="255"/>
      <c r="U152" s="255"/>
      <c r="V152" s="255"/>
      <c r="W152" s="255"/>
      <c r="X152" s="255"/>
      <c r="Y152" s="255"/>
      <c r="Z152" s="255"/>
      <c r="AA152" s="255"/>
      <c r="AB152" s="255"/>
      <c r="AC152" s="255"/>
      <c r="AD152" s="255"/>
      <c r="AE152" s="255"/>
      <c r="AF152" s="255"/>
      <c r="AG152" s="255"/>
      <c r="AH152" s="255"/>
      <c r="AI152" s="255"/>
      <c r="AJ152" s="255"/>
      <c r="AK152" s="255"/>
      <c r="AL152" s="255"/>
      <c r="AM152" s="255"/>
      <c r="AN152" s="255"/>
      <c r="AO152" s="255"/>
      <c r="AP152" s="255"/>
      <c r="AQ152" s="255"/>
    </row>
    <row r="153" spans="1:43" s="53" customFormat="1" ht="18" customHeight="1">
      <c r="A153" s="52"/>
      <c r="C153" s="53" t="s">
        <v>227</v>
      </c>
      <c r="D153" s="281" t="s">
        <v>229</v>
      </c>
      <c r="E153" s="282">
        <f>(C144+C145)/2</f>
        <v>66</v>
      </c>
      <c r="J153" s="52"/>
      <c r="K153" s="255"/>
      <c r="L153" s="278"/>
      <c r="M153" s="278"/>
      <c r="N153" s="278"/>
      <c r="O153" s="278"/>
      <c r="P153" s="278"/>
      <c r="Q153" s="278"/>
      <c r="R153" s="255"/>
      <c r="S153" s="255"/>
      <c r="T153" s="255"/>
      <c r="U153" s="255"/>
      <c r="V153" s="255"/>
      <c r="W153" s="255"/>
      <c r="X153" s="255"/>
      <c r="Y153" s="255"/>
      <c r="Z153" s="255"/>
      <c r="AA153" s="255"/>
      <c r="AB153" s="255"/>
      <c r="AC153" s="255"/>
      <c r="AD153" s="255"/>
      <c r="AE153" s="255"/>
      <c r="AF153" s="255"/>
      <c r="AG153" s="255"/>
      <c r="AH153" s="255"/>
      <c r="AI153" s="255"/>
      <c r="AJ153" s="255"/>
      <c r="AK153" s="255"/>
      <c r="AL153" s="255"/>
      <c r="AM153" s="255"/>
      <c r="AN153" s="255"/>
      <c r="AO153" s="255"/>
      <c r="AP153" s="255"/>
      <c r="AQ153" s="255"/>
    </row>
    <row r="154" spans="1:43" s="53" customFormat="1" ht="18" customHeight="1">
      <c r="A154" s="52"/>
      <c r="D154" s="279"/>
      <c r="E154" s="280"/>
      <c r="F154" s="281"/>
      <c r="G154" s="282"/>
      <c r="J154" s="52"/>
      <c r="K154" s="255"/>
      <c r="L154" s="278"/>
      <c r="M154" s="278"/>
      <c r="N154" s="278"/>
      <c r="O154" s="278"/>
      <c r="P154" s="278"/>
      <c r="Q154" s="278"/>
      <c r="R154" s="255"/>
      <c r="S154" s="255"/>
      <c r="T154" s="255"/>
      <c r="U154" s="255"/>
      <c r="V154" s="255"/>
      <c r="W154" s="255"/>
      <c r="X154" s="255"/>
      <c r="Y154" s="255"/>
      <c r="Z154" s="255"/>
      <c r="AA154" s="255"/>
      <c r="AB154" s="255"/>
      <c r="AC154" s="255"/>
      <c r="AD154" s="255"/>
      <c r="AE154" s="255"/>
      <c r="AF154" s="255"/>
      <c r="AG154" s="255"/>
      <c r="AH154" s="255"/>
      <c r="AI154" s="255"/>
      <c r="AJ154" s="255"/>
      <c r="AK154" s="255"/>
      <c r="AL154" s="255"/>
      <c r="AM154" s="255"/>
      <c r="AN154" s="255"/>
      <c r="AO154" s="255"/>
      <c r="AP154" s="255"/>
      <c r="AQ154" s="255"/>
    </row>
    <row r="155" spans="1:43" s="53" customFormat="1" ht="18" customHeight="1">
      <c r="A155" s="52"/>
      <c r="C155" s="53" t="s">
        <v>204</v>
      </c>
      <c r="D155" s="281" t="s">
        <v>230</v>
      </c>
      <c r="E155" s="282">
        <f>(C146+C147)/2</f>
        <v>76</v>
      </c>
      <c r="J155" s="52"/>
      <c r="K155" s="255"/>
      <c r="L155" s="278"/>
      <c r="M155" s="278"/>
      <c r="N155" s="278"/>
      <c r="O155" s="278"/>
      <c r="P155" s="278"/>
      <c r="Q155" s="278"/>
      <c r="R155" s="255"/>
      <c r="S155" s="255"/>
      <c r="T155" s="255"/>
      <c r="U155" s="255"/>
      <c r="V155" s="255"/>
      <c r="W155" s="255"/>
      <c r="X155" s="255"/>
      <c r="Y155" s="255"/>
      <c r="Z155" s="255"/>
      <c r="AA155" s="255"/>
      <c r="AB155" s="255"/>
      <c r="AC155" s="255"/>
      <c r="AD155" s="255"/>
      <c r="AE155" s="255"/>
      <c r="AF155" s="255"/>
      <c r="AG155" s="255"/>
      <c r="AH155" s="255"/>
      <c r="AI155" s="255"/>
      <c r="AJ155" s="255"/>
      <c r="AK155" s="255"/>
      <c r="AL155" s="255"/>
      <c r="AM155" s="255"/>
      <c r="AN155" s="255"/>
      <c r="AO155" s="255"/>
      <c r="AP155" s="255"/>
      <c r="AQ155" s="255"/>
    </row>
    <row r="156" spans="1:43" s="53" customFormat="1" ht="18" customHeight="1">
      <c r="A156" s="52"/>
      <c r="E156" s="271"/>
      <c r="F156" s="278"/>
      <c r="G156" s="255"/>
      <c r="J156" s="52"/>
      <c r="K156" s="255"/>
      <c r="L156" s="278"/>
      <c r="M156" s="278"/>
      <c r="N156" s="278"/>
      <c r="O156" s="278"/>
      <c r="P156" s="278"/>
      <c r="Q156" s="278"/>
      <c r="R156" s="255"/>
      <c r="S156" s="255"/>
      <c r="T156" s="255"/>
      <c r="U156" s="255"/>
      <c r="V156" s="255"/>
      <c r="W156" s="255"/>
      <c r="X156" s="255"/>
      <c r="Y156" s="255"/>
      <c r="Z156" s="255"/>
      <c r="AA156" s="255"/>
      <c r="AB156" s="255"/>
      <c r="AC156" s="255"/>
      <c r="AD156" s="255"/>
      <c r="AE156" s="255"/>
      <c r="AF156" s="255"/>
      <c r="AG156" s="255"/>
      <c r="AH156" s="255"/>
      <c r="AI156" s="255"/>
      <c r="AJ156" s="255"/>
      <c r="AK156" s="255"/>
      <c r="AL156" s="255"/>
      <c r="AM156" s="255"/>
      <c r="AN156" s="255"/>
      <c r="AO156" s="255"/>
      <c r="AP156" s="255"/>
      <c r="AQ156" s="255"/>
    </row>
    <row r="157" spans="1:17" ht="12.75">
      <c r="A157" s="14"/>
      <c r="J157" s="14"/>
      <c r="L157" s="287"/>
      <c r="M157" s="287"/>
      <c r="N157" s="287"/>
      <c r="O157" s="287"/>
      <c r="P157" s="287"/>
      <c r="Q157" s="287"/>
    </row>
    <row r="158" spans="1:17" ht="18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L158" s="290"/>
      <c r="M158" s="287"/>
      <c r="N158" s="287"/>
      <c r="O158" s="287"/>
      <c r="P158" s="290"/>
      <c r="Q158" s="287"/>
    </row>
    <row r="159" spans="1:17" ht="12.75">
      <c r="A159" s="33"/>
      <c r="L159" s="290"/>
      <c r="M159" s="287"/>
      <c r="N159" s="287"/>
      <c r="O159" s="287"/>
      <c r="P159" s="290"/>
      <c r="Q159" s="287"/>
    </row>
    <row r="160" spans="1:17" ht="12.75">
      <c r="A160" s="33"/>
      <c r="L160" s="290"/>
      <c r="M160" s="287"/>
      <c r="N160" s="287"/>
      <c r="O160" s="287"/>
      <c r="P160" s="290"/>
      <c r="Q160" s="287"/>
    </row>
    <row r="161" spans="1:17" ht="12.75">
      <c r="A161" s="33"/>
      <c r="L161" s="287"/>
      <c r="M161" s="287"/>
      <c r="N161" s="287"/>
      <c r="O161" s="287"/>
      <c r="P161" s="287"/>
      <c r="Q161" s="287"/>
    </row>
    <row r="162" spans="1:17" ht="12.75">
      <c r="A162" s="33"/>
      <c r="L162" s="287"/>
      <c r="M162" s="287"/>
      <c r="N162" s="287"/>
      <c r="O162" s="287"/>
      <c r="P162" s="287"/>
      <c r="Q162" s="287"/>
    </row>
    <row r="163" spans="1:17" ht="12.75">
      <c r="A163" s="33"/>
      <c r="L163" s="287"/>
      <c r="M163" s="287"/>
      <c r="N163" s="287"/>
      <c r="O163" s="287"/>
      <c r="P163" s="287"/>
      <c r="Q163" s="287"/>
    </row>
    <row r="164" ht="12.75">
      <c r="A164" s="33"/>
    </row>
    <row r="165" ht="12.75">
      <c r="A165" s="33"/>
    </row>
    <row r="166" ht="12.75">
      <c r="A166" s="33"/>
    </row>
    <row r="167" ht="12.75">
      <c r="A167" s="33"/>
    </row>
    <row r="168" ht="12.75">
      <c r="A168" s="33"/>
    </row>
    <row r="169" ht="12.75">
      <c r="A169" s="33"/>
    </row>
    <row r="170" ht="12.75">
      <c r="A170" s="33"/>
    </row>
    <row r="171" ht="12.75">
      <c r="A171" s="33"/>
    </row>
    <row r="172" ht="12.75">
      <c r="A172" s="33"/>
    </row>
    <row r="173" ht="12.75">
      <c r="A173" s="33"/>
    </row>
    <row r="174" ht="12.75">
      <c r="A174" s="33"/>
    </row>
    <row r="175" ht="12.75">
      <c r="A175" s="33"/>
    </row>
    <row r="176" ht="12.75">
      <c r="A176" s="33"/>
    </row>
  </sheetData>
  <mergeCells count="12">
    <mergeCell ref="A1:I1"/>
    <mergeCell ref="A52:I52"/>
    <mergeCell ref="D15:F15"/>
    <mergeCell ref="D43:F44"/>
    <mergeCell ref="C66:D66"/>
    <mergeCell ref="C135:F135"/>
    <mergeCell ref="D91:F91"/>
    <mergeCell ref="D96:F96"/>
    <mergeCell ref="D101:F101"/>
    <mergeCell ref="D73:F73"/>
    <mergeCell ref="D82:F82"/>
    <mergeCell ref="C113:E113"/>
  </mergeCells>
  <printOptions horizontalCentered="1"/>
  <pageMargins left="0.4724409448818898" right="0.5511811023622047" top="0.7086614173228347" bottom="0.6299212598425197" header="0.5118110236220472" footer="0.5118110236220472"/>
  <pageSetup fitToHeight="8" horizontalDpi="300" verticalDpi="300" orientation="portrait" paperSize="9" scale="68" r:id="rId4"/>
  <rowBreaks count="2" manualBreakCount="2">
    <brk id="51" max="9" man="1"/>
    <brk id="114" max="9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37"/>
  <sheetViews>
    <sheetView tabSelected="1" zoomScale="88" zoomScaleNormal="88" workbookViewId="0" topLeftCell="A52">
      <selection activeCell="F61" sqref="F61"/>
    </sheetView>
  </sheetViews>
  <sheetFormatPr defaultColWidth="9.140625" defaultRowHeight="12.75"/>
  <cols>
    <col min="1" max="1" width="4.140625" style="113" customWidth="1"/>
    <col min="2" max="2" width="9.140625" style="113" customWidth="1"/>
    <col min="3" max="3" width="18.8515625" style="113" customWidth="1"/>
    <col min="4" max="8" width="15.8515625" style="113" customWidth="1"/>
    <col min="9" max="9" width="19.8515625" style="113" customWidth="1"/>
    <col min="10" max="10" width="3.140625" style="113" customWidth="1"/>
    <col min="11" max="11" width="4.00390625" style="170" customWidth="1"/>
    <col min="12" max="15" width="9.8515625" style="170" customWidth="1"/>
    <col min="16" max="16" width="12.57421875" style="170" customWidth="1"/>
    <col min="17" max="23" width="9.140625" style="170" customWidth="1"/>
    <col min="24" max="16384" width="9.140625" style="113" customWidth="1"/>
  </cols>
  <sheetData>
    <row r="1" spans="1:16" ht="29.25" customHeight="1">
      <c r="A1" s="328" t="s">
        <v>177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260"/>
      <c r="M1" s="260"/>
      <c r="N1" s="260"/>
      <c r="O1" s="260"/>
      <c r="P1" s="260"/>
    </row>
    <row r="2" spans="1:11" ht="14.25">
      <c r="A2" s="114"/>
      <c r="H2" s="115"/>
      <c r="I2" s="115"/>
      <c r="J2" s="115"/>
      <c r="K2" s="266"/>
    </row>
    <row r="3" spans="1:16" ht="14.25">
      <c r="A3" s="114"/>
      <c r="B3" s="4" t="s">
        <v>180</v>
      </c>
      <c r="C3" s="4"/>
      <c r="D3" s="4"/>
      <c r="E3" s="4"/>
      <c r="F3" s="4"/>
      <c r="G3" s="4"/>
      <c r="H3" s="4"/>
      <c r="I3" s="4"/>
      <c r="J3" s="4"/>
      <c r="K3" s="256"/>
      <c r="L3" s="252"/>
      <c r="M3" s="252"/>
      <c r="N3" s="252"/>
      <c r="O3" s="252"/>
      <c r="P3" s="252"/>
    </row>
    <row r="4" spans="1:16" ht="14.25">
      <c r="A4" s="114"/>
      <c r="B4" s="5" t="s">
        <v>179</v>
      </c>
      <c r="C4" s="4"/>
      <c r="D4" s="4"/>
      <c r="E4" s="4"/>
      <c r="F4" s="4"/>
      <c r="G4" s="4"/>
      <c r="H4" s="4"/>
      <c r="I4" s="4"/>
      <c r="J4" s="4"/>
      <c r="K4" s="256"/>
      <c r="L4" s="252"/>
      <c r="M4" s="252"/>
      <c r="N4" s="252"/>
      <c r="O4" s="252"/>
      <c r="P4" s="252"/>
    </row>
    <row r="5" spans="1:11" ht="24.75" customHeight="1" thickBot="1">
      <c r="A5" s="114"/>
      <c r="K5" s="114"/>
    </row>
    <row r="6" spans="1:23" s="128" customFormat="1" ht="18" customHeight="1" thickBot="1">
      <c r="A6" s="127"/>
      <c r="C6" s="8" t="s">
        <v>34</v>
      </c>
      <c r="D6" s="193">
        <v>2000</v>
      </c>
      <c r="E6" s="194">
        <v>2001</v>
      </c>
      <c r="F6" s="194">
        <v>2002</v>
      </c>
      <c r="G6" s="194">
        <v>2003</v>
      </c>
      <c r="H6" s="195">
        <v>2004</v>
      </c>
      <c r="K6" s="127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</row>
    <row r="7" spans="1:23" s="128" customFormat="1" ht="29.25" customHeight="1" thickBot="1">
      <c r="A7" s="127"/>
      <c r="C7" s="7" t="s">
        <v>178</v>
      </c>
      <c r="D7" s="197">
        <v>97.8</v>
      </c>
      <c r="E7" s="198">
        <v>103.08</v>
      </c>
      <c r="F7" s="199">
        <v>95.09</v>
      </c>
      <c r="G7" s="199">
        <v>92.13</v>
      </c>
      <c r="H7" s="200">
        <v>104.75</v>
      </c>
      <c r="K7" s="127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</row>
    <row r="8" spans="1:11" ht="27" customHeight="1">
      <c r="A8" s="114"/>
      <c r="K8" s="114"/>
    </row>
    <row r="9" spans="1:16" ht="14.25">
      <c r="A9" s="114"/>
      <c r="B9" s="5" t="s">
        <v>171</v>
      </c>
      <c r="C9" s="5"/>
      <c r="D9" s="5"/>
      <c r="E9" s="5"/>
      <c r="F9" s="5"/>
      <c r="G9" s="5"/>
      <c r="H9" s="5"/>
      <c r="I9" s="5"/>
      <c r="J9" s="5"/>
      <c r="K9" s="102"/>
      <c r="L9" s="254"/>
      <c r="M9" s="254"/>
      <c r="N9" s="254"/>
      <c r="O9" s="254"/>
      <c r="P9" s="254"/>
    </row>
    <row r="10" spans="1:16" ht="14.25">
      <c r="A10" s="114"/>
      <c r="B10" s="5" t="s">
        <v>172</v>
      </c>
      <c r="C10" s="5"/>
      <c r="D10" s="5"/>
      <c r="E10" s="5"/>
      <c r="F10" s="5"/>
      <c r="G10" s="5"/>
      <c r="H10" s="5"/>
      <c r="I10" s="5"/>
      <c r="J10" s="5"/>
      <c r="K10" s="102"/>
      <c r="L10" s="254"/>
      <c r="M10" s="254"/>
      <c r="N10" s="254"/>
      <c r="O10" s="254"/>
      <c r="P10" s="254"/>
    </row>
    <row r="11" spans="1:16" ht="14.25">
      <c r="A11" s="114"/>
      <c r="B11" s="5" t="s">
        <v>182</v>
      </c>
      <c r="C11" s="5"/>
      <c r="D11" s="5"/>
      <c r="E11" s="5"/>
      <c r="F11" s="5"/>
      <c r="G11" s="5"/>
      <c r="H11" s="5"/>
      <c r="I11" s="5"/>
      <c r="J11" s="5"/>
      <c r="K11" s="102"/>
      <c r="L11" s="254"/>
      <c r="M11" s="254"/>
      <c r="N11" s="254"/>
      <c r="O11" s="254"/>
      <c r="P11" s="254"/>
    </row>
    <row r="12" spans="1:16" ht="14.25">
      <c r="A12" s="114"/>
      <c r="B12" s="5" t="s">
        <v>181</v>
      </c>
      <c r="C12" s="5"/>
      <c r="D12" s="5"/>
      <c r="E12" s="5"/>
      <c r="F12" s="5"/>
      <c r="G12" s="5"/>
      <c r="H12" s="5"/>
      <c r="I12" s="5"/>
      <c r="J12" s="5"/>
      <c r="K12" s="102"/>
      <c r="L12" s="254"/>
      <c r="M12" s="254"/>
      <c r="N12" s="254"/>
      <c r="O12" s="254"/>
      <c r="P12" s="254"/>
    </row>
    <row r="13" spans="1:11" ht="14.25">
      <c r="A13" s="114"/>
      <c r="K13" s="114"/>
    </row>
    <row r="14" spans="1:11" ht="14.25">
      <c r="A14" s="114"/>
      <c r="K14" s="114"/>
    </row>
    <row r="15" spans="1:16" ht="14.25">
      <c r="A15" s="114"/>
      <c r="B15" s="4" t="s">
        <v>173</v>
      </c>
      <c r="C15" s="4"/>
      <c r="D15" s="4"/>
      <c r="E15" s="4"/>
      <c r="F15" s="4"/>
      <c r="G15" s="4"/>
      <c r="H15" s="4"/>
      <c r="I15" s="4"/>
      <c r="J15" s="4"/>
      <c r="K15" s="256"/>
      <c r="L15" s="252"/>
      <c r="M15" s="252"/>
      <c r="N15" s="252"/>
      <c r="O15" s="252"/>
      <c r="P15" s="252"/>
    </row>
    <row r="16" spans="1:11" ht="25.5" customHeight="1" thickBot="1">
      <c r="A16" s="114"/>
      <c r="K16" s="114"/>
    </row>
    <row r="17" spans="1:11" ht="29.25" thickBot="1">
      <c r="A17" s="114"/>
      <c r="C17" s="8" t="s">
        <v>35</v>
      </c>
      <c r="D17" s="164" t="s">
        <v>36</v>
      </c>
      <c r="E17" s="165"/>
      <c r="F17" s="165"/>
      <c r="G17" s="165"/>
      <c r="H17" s="165"/>
      <c r="K17" s="114"/>
    </row>
    <row r="18" spans="1:23" s="158" customFormat="1" ht="18" customHeight="1">
      <c r="A18" s="201"/>
      <c r="C18" s="210" t="s">
        <v>37</v>
      </c>
      <c r="D18" s="211">
        <v>32</v>
      </c>
      <c r="E18" s="212"/>
      <c r="F18" s="212"/>
      <c r="G18" s="212"/>
      <c r="H18" s="212"/>
      <c r="K18" s="201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</row>
    <row r="19" spans="1:23" s="158" customFormat="1" ht="18" customHeight="1">
      <c r="A19" s="201"/>
      <c r="C19" s="213" t="s">
        <v>38</v>
      </c>
      <c r="D19" s="214">
        <v>52</v>
      </c>
      <c r="E19" s="212"/>
      <c r="F19" s="212"/>
      <c r="G19" s="212"/>
      <c r="H19" s="212"/>
      <c r="K19" s="201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</row>
    <row r="20" spans="1:23" s="158" customFormat="1" ht="18" customHeight="1">
      <c r="A20" s="201"/>
      <c r="C20" s="213" t="s">
        <v>39</v>
      </c>
      <c r="D20" s="214">
        <v>31</v>
      </c>
      <c r="E20" s="212"/>
      <c r="F20" s="212"/>
      <c r="G20" s="212"/>
      <c r="H20" s="212"/>
      <c r="K20" s="201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</row>
    <row r="21" spans="1:23" s="158" customFormat="1" ht="18" customHeight="1">
      <c r="A21" s="201"/>
      <c r="C21" s="213" t="s">
        <v>40</v>
      </c>
      <c r="D21" s="214">
        <v>28</v>
      </c>
      <c r="E21" s="212"/>
      <c r="F21" s="212"/>
      <c r="G21" s="212"/>
      <c r="H21" s="212"/>
      <c r="K21" s="201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</row>
    <row r="22" spans="1:23" s="158" customFormat="1" ht="18" customHeight="1">
      <c r="A22" s="201"/>
      <c r="C22" s="213" t="s">
        <v>41</v>
      </c>
      <c r="D22" s="214">
        <v>74</v>
      </c>
      <c r="E22" s="212"/>
      <c r="F22" s="212"/>
      <c r="G22" s="212"/>
      <c r="H22" s="212"/>
      <c r="K22" s="201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</row>
    <row r="23" spans="1:23" s="158" customFormat="1" ht="18" customHeight="1" thickBot="1">
      <c r="A23" s="201"/>
      <c r="C23" s="215" t="s">
        <v>42</v>
      </c>
      <c r="D23" s="216">
        <v>53</v>
      </c>
      <c r="E23" s="212"/>
      <c r="F23" s="212"/>
      <c r="G23" s="212"/>
      <c r="H23" s="212"/>
      <c r="K23" s="201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</row>
    <row r="24" spans="1:11" ht="24" customHeight="1">
      <c r="A24" s="114"/>
      <c r="K24" s="114"/>
    </row>
    <row r="25" spans="1:16" ht="14.25">
      <c r="A25" s="114"/>
      <c r="B25" s="5" t="s">
        <v>174</v>
      </c>
      <c r="C25" s="5"/>
      <c r="D25" s="5"/>
      <c r="E25" s="5"/>
      <c r="F25" s="5"/>
      <c r="G25" s="5"/>
      <c r="H25" s="5"/>
      <c r="I25" s="5"/>
      <c r="J25" s="5"/>
      <c r="K25" s="102"/>
      <c r="L25" s="254"/>
      <c r="M25" s="254"/>
      <c r="N25" s="254"/>
      <c r="O25" s="254"/>
      <c r="P25" s="254"/>
    </row>
    <row r="26" spans="1:11" ht="14.25">
      <c r="A26" s="114"/>
      <c r="K26" s="114"/>
    </row>
    <row r="27" spans="1:11" ht="14.25">
      <c r="A27" s="114"/>
      <c r="K27" s="114"/>
    </row>
    <row r="28" spans="1:16" ht="14.25">
      <c r="A28" s="114"/>
      <c r="B28" s="4" t="s">
        <v>184</v>
      </c>
      <c r="C28" s="4"/>
      <c r="D28" s="4"/>
      <c r="E28" s="4"/>
      <c r="F28" s="4"/>
      <c r="G28" s="4"/>
      <c r="H28" s="4"/>
      <c r="I28" s="4"/>
      <c r="J28" s="4"/>
      <c r="K28" s="256"/>
      <c r="L28" s="252"/>
      <c r="M28" s="252"/>
      <c r="N28" s="252"/>
      <c r="O28" s="252"/>
      <c r="P28" s="252"/>
    </row>
    <row r="29" spans="1:16" ht="14.25">
      <c r="A29" s="114"/>
      <c r="B29" s="5" t="s">
        <v>183</v>
      </c>
      <c r="C29" s="4"/>
      <c r="D29" s="4"/>
      <c r="E29" s="4"/>
      <c r="F29" s="4"/>
      <c r="G29" s="4"/>
      <c r="H29" s="4"/>
      <c r="I29" s="4"/>
      <c r="J29" s="4"/>
      <c r="K29" s="256"/>
      <c r="L29" s="252"/>
      <c r="M29" s="252"/>
      <c r="N29" s="252"/>
      <c r="O29" s="252"/>
      <c r="P29" s="252"/>
    </row>
    <row r="30" spans="1:11" ht="25.5" customHeight="1" thickBot="1">
      <c r="A30" s="114"/>
      <c r="K30" s="114"/>
    </row>
    <row r="31" spans="1:23" s="158" customFormat="1" ht="18" customHeight="1" thickBot="1">
      <c r="A31" s="201"/>
      <c r="C31" s="8" t="s">
        <v>43</v>
      </c>
      <c r="D31" s="8" t="s">
        <v>44</v>
      </c>
      <c r="K31" s="201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</row>
    <row r="32" spans="1:23" s="158" customFormat="1" ht="18" customHeight="1">
      <c r="A32" s="201"/>
      <c r="C32" s="203">
        <v>1</v>
      </c>
      <c r="D32" s="204">
        <v>949</v>
      </c>
      <c r="K32" s="201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</row>
    <row r="33" spans="1:23" s="158" customFormat="1" ht="18" customHeight="1">
      <c r="A33" s="201"/>
      <c r="C33" s="205">
        <v>2</v>
      </c>
      <c r="D33" s="206">
        <v>1396</v>
      </c>
      <c r="K33" s="201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</row>
    <row r="34" spans="1:23" s="158" customFormat="1" ht="18" customHeight="1">
      <c r="A34" s="201"/>
      <c r="C34" s="205">
        <v>1</v>
      </c>
      <c r="D34" s="206">
        <v>700</v>
      </c>
      <c r="K34" s="201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</row>
    <row r="35" spans="1:23" s="158" customFormat="1" ht="18" customHeight="1">
      <c r="A35" s="201"/>
      <c r="C35" s="205">
        <v>2</v>
      </c>
      <c r="D35" s="206">
        <v>664</v>
      </c>
      <c r="K35" s="201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</row>
    <row r="36" spans="1:23" s="158" customFormat="1" ht="18" customHeight="1">
      <c r="A36" s="201"/>
      <c r="C36" s="205">
        <v>2</v>
      </c>
      <c r="D36" s="206">
        <v>1057</v>
      </c>
      <c r="K36" s="201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</row>
    <row r="37" spans="1:23" s="158" customFormat="1" ht="18" customHeight="1">
      <c r="A37" s="201"/>
      <c r="C37" s="205">
        <v>3</v>
      </c>
      <c r="D37" s="206">
        <v>1412</v>
      </c>
      <c r="K37" s="201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</row>
    <row r="38" spans="1:23" s="158" customFormat="1" ht="18" customHeight="1">
      <c r="A38" s="201"/>
      <c r="C38" s="205">
        <v>2</v>
      </c>
      <c r="D38" s="206">
        <v>733</v>
      </c>
      <c r="K38" s="201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</row>
    <row r="39" spans="1:23" s="158" customFormat="1" ht="18" customHeight="1">
      <c r="A39" s="201"/>
      <c r="C39" s="207">
        <v>4</v>
      </c>
      <c r="D39" s="208">
        <v>1558</v>
      </c>
      <c r="K39" s="201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</row>
    <row r="40" spans="1:23" s="158" customFormat="1" ht="18" customHeight="1">
      <c r="A40" s="201"/>
      <c r="C40" s="207">
        <v>4</v>
      </c>
      <c r="D40" s="208">
        <v>1269</v>
      </c>
      <c r="K40" s="201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</row>
    <row r="41" spans="1:23" s="158" customFormat="1" ht="18" customHeight="1">
      <c r="A41" s="201"/>
      <c r="C41" s="207">
        <v>4</v>
      </c>
      <c r="D41" s="208">
        <v>1371</v>
      </c>
      <c r="K41" s="201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</row>
    <row r="42" spans="1:23" s="158" customFormat="1" ht="18" customHeight="1">
      <c r="A42" s="201"/>
      <c r="C42" s="207">
        <v>5</v>
      </c>
      <c r="D42" s="208">
        <v>1476</v>
      </c>
      <c r="K42" s="201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</row>
    <row r="43" spans="1:23" s="158" customFormat="1" ht="18" customHeight="1" thickBot="1">
      <c r="A43" s="201"/>
      <c r="C43" s="197">
        <v>3</v>
      </c>
      <c r="D43" s="209">
        <v>785</v>
      </c>
      <c r="K43" s="201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</row>
    <row r="44" spans="1:11" ht="29.25" customHeight="1">
      <c r="A44" s="114"/>
      <c r="K44" s="114"/>
    </row>
    <row r="45" spans="1:16" ht="14.25">
      <c r="A45" s="114"/>
      <c r="B45" s="5" t="s">
        <v>186</v>
      </c>
      <c r="C45" s="5"/>
      <c r="D45" s="5"/>
      <c r="E45" s="5"/>
      <c r="F45" s="5"/>
      <c r="G45" s="5"/>
      <c r="H45" s="5"/>
      <c r="I45" s="5"/>
      <c r="J45" s="5"/>
      <c r="K45" s="102"/>
      <c r="L45" s="254"/>
      <c r="M45" s="254"/>
      <c r="N45" s="254"/>
      <c r="O45" s="254"/>
      <c r="P45" s="254"/>
    </row>
    <row r="46" spans="1:16" ht="14.25">
      <c r="A46" s="114"/>
      <c r="B46" s="5" t="s">
        <v>185</v>
      </c>
      <c r="C46" s="5"/>
      <c r="D46" s="5"/>
      <c r="E46" s="5"/>
      <c r="F46" s="5"/>
      <c r="G46" s="5"/>
      <c r="H46" s="5"/>
      <c r="I46" s="5"/>
      <c r="J46" s="5"/>
      <c r="K46" s="102"/>
      <c r="L46" s="254"/>
      <c r="M46" s="254"/>
      <c r="N46" s="254"/>
      <c r="O46" s="254"/>
      <c r="P46" s="254"/>
    </row>
    <row r="47" spans="1:16" ht="14.25">
      <c r="A47" s="114"/>
      <c r="B47" s="5" t="s">
        <v>188</v>
      </c>
      <c r="C47" s="5"/>
      <c r="D47" s="5"/>
      <c r="E47" s="5"/>
      <c r="F47" s="5"/>
      <c r="G47" s="5"/>
      <c r="H47" s="5"/>
      <c r="I47" s="5"/>
      <c r="J47" s="5"/>
      <c r="K47" s="102"/>
      <c r="L47" s="254"/>
      <c r="M47" s="254"/>
      <c r="N47" s="254"/>
      <c r="O47" s="254"/>
      <c r="P47" s="254"/>
    </row>
    <row r="48" spans="1:13" ht="14.25">
      <c r="A48" s="102" t="s">
        <v>31</v>
      </c>
      <c r="B48" s="5" t="s">
        <v>187</v>
      </c>
      <c r="C48" s="5"/>
      <c r="D48" s="5"/>
      <c r="E48" s="5"/>
      <c r="F48" s="5"/>
      <c r="G48" s="5"/>
      <c r="H48" s="5"/>
      <c r="I48" s="5"/>
      <c r="J48" s="5"/>
      <c r="K48" s="102"/>
      <c r="L48" s="254"/>
      <c r="M48" s="254"/>
    </row>
    <row r="49" spans="1:11" ht="14.25">
      <c r="A49" s="114"/>
      <c r="B49" s="336" t="s">
        <v>175</v>
      </c>
      <c r="C49" s="336"/>
      <c r="D49" s="336"/>
      <c r="E49" s="336"/>
      <c r="F49" s="336"/>
      <c r="G49" s="336"/>
      <c r="H49" s="336"/>
      <c r="I49" s="336"/>
      <c r="J49" s="101"/>
      <c r="K49" s="114"/>
    </row>
    <row r="50" spans="1:11" ht="14.25">
      <c r="A50" s="114"/>
      <c r="B50" s="336" t="s">
        <v>176</v>
      </c>
      <c r="C50" s="336"/>
      <c r="D50" s="336"/>
      <c r="E50" s="336"/>
      <c r="F50" s="336"/>
      <c r="G50" s="336"/>
      <c r="H50" s="336"/>
      <c r="I50" s="336"/>
      <c r="J50" s="101"/>
      <c r="K50" s="114"/>
    </row>
    <row r="51" spans="1:11" ht="14.25">
      <c r="A51" s="114"/>
      <c r="B51" s="101"/>
      <c r="C51" s="101"/>
      <c r="D51" s="101"/>
      <c r="E51" s="101"/>
      <c r="F51" s="101"/>
      <c r="G51" s="101"/>
      <c r="H51" s="101"/>
      <c r="I51" s="101"/>
      <c r="J51" s="101"/>
      <c r="K51" s="114"/>
    </row>
    <row r="52" spans="1:11" ht="18" customHeight="1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</row>
    <row r="53" spans="1:16" ht="18">
      <c r="A53" s="329" t="s">
        <v>201</v>
      </c>
      <c r="B53" s="329"/>
      <c r="C53" s="329"/>
      <c r="D53" s="329"/>
      <c r="E53" s="329"/>
      <c r="F53" s="329"/>
      <c r="G53" s="329"/>
      <c r="H53" s="329"/>
      <c r="I53" s="329"/>
      <c r="J53" s="12"/>
      <c r="K53" s="130"/>
      <c r="L53" s="260"/>
      <c r="M53" s="260"/>
      <c r="N53" s="260"/>
      <c r="O53" s="260"/>
      <c r="P53" s="260"/>
    </row>
    <row r="54" spans="1:11" ht="14.25">
      <c r="A54" s="116"/>
      <c r="K54" s="116"/>
    </row>
    <row r="55" spans="1:11" ht="15">
      <c r="A55" s="49" t="s">
        <v>99</v>
      </c>
      <c r="K55" s="116"/>
    </row>
    <row r="56" spans="1:11" ht="6.75" customHeight="1">
      <c r="A56" s="49"/>
      <c r="K56" s="116"/>
    </row>
    <row r="57" spans="1:16" ht="14.25">
      <c r="A57" s="142" t="s">
        <v>15</v>
      </c>
      <c r="B57" s="5" t="s">
        <v>45</v>
      </c>
      <c r="C57" s="5"/>
      <c r="D57" s="5"/>
      <c r="E57" s="5"/>
      <c r="F57" s="5"/>
      <c r="G57" s="5"/>
      <c r="H57" s="5"/>
      <c r="I57" s="5"/>
      <c r="J57" s="5"/>
      <c r="K57" s="257"/>
      <c r="L57" s="254"/>
      <c r="M57" s="254"/>
      <c r="N57" s="254"/>
      <c r="O57" s="254"/>
      <c r="P57" s="254"/>
    </row>
    <row r="58" spans="1:11" ht="26.25" customHeight="1" thickBot="1">
      <c r="A58" s="116"/>
      <c r="K58" s="116"/>
    </row>
    <row r="59" spans="1:11" ht="18" customHeight="1" thickBot="1">
      <c r="A59" s="116"/>
      <c r="C59" s="28" t="s">
        <v>34</v>
      </c>
      <c r="D59" s="190">
        <v>2000</v>
      </c>
      <c r="E59" s="191">
        <v>2001</v>
      </c>
      <c r="F59" s="191">
        <v>2002</v>
      </c>
      <c r="G59" s="191">
        <v>2003</v>
      </c>
      <c r="H59" s="192">
        <v>2004</v>
      </c>
      <c r="K59" s="116"/>
    </row>
    <row r="60" spans="1:11" ht="36.75" customHeight="1" thickBot="1">
      <c r="A60" s="116"/>
      <c r="C60" s="27" t="s">
        <v>92</v>
      </c>
      <c r="D60" s="207">
        <v>97.8</v>
      </c>
      <c r="E60" s="229">
        <v>103.08</v>
      </c>
      <c r="F60" s="230">
        <v>95.09</v>
      </c>
      <c r="G60" s="230">
        <v>92.13</v>
      </c>
      <c r="H60" s="231">
        <v>104.75</v>
      </c>
      <c r="K60" s="116"/>
    </row>
    <row r="61" spans="1:11" ht="36.75" customHeight="1" thickBot="1">
      <c r="A61" s="116"/>
      <c r="C61" s="27" t="s">
        <v>192</v>
      </c>
      <c r="D61" s="232">
        <v>100</v>
      </c>
      <c r="E61" s="233">
        <f>(E60/100)*100</f>
        <v>103.08</v>
      </c>
      <c r="F61" s="234">
        <f>(E60/100)*(F60/100)*100</f>
        <v>98.018772</v>
      </c>
      <c r="G61" s="234">
        <f>(E60/100)*(F60/100)*(G60/100)*100</f>
        <v>90.3046946436</v>
      </c>
      <c r="H61" s="235">
        <f>E60/100*F60/100*G60/100*H60/100*100</f>
        <v>94.59416763917099</v>
      </c>
      <c r="K61" s="116"/>
    </row>
    <row r="62" spans="1:11" ht="24.75" customHeight="1">
      <c r="A62" s="116"/>
      <c r="C62" s="166"/>
      <c r="D62" s="167"/>
      <c r="E62" s="167"/>
      <c r="F62" s="168"/>
      <c r="G62" s="168"/>
      <c r="H62" s="168"/>
      <c r="K62" s="116"/>
    </row>
    <row r="63" spans="1:16" ht="14.25">
      <c r="A63" s="142" t="s">
        <v>17</v>
      </c>
      <c r="B63" s="5" t="s">
        <v>49</v>
      </c>
      <c r="C63" s="5"/>
      <c r="D63" s="5"/>
      <c r="E63" s="5"/>
      <c r="F63" s="5"/>
      <c r="G63" s="5"/>
      <c r="H63" s="5"/>
      <c r="I63" s="5"/>
      <c r="J63" s="5"/>
      <c r="K63" s="257"/>
      <c r="L63" s="254"/>
      <c r="M63" s="254"/>
      <c r="N63" s="254"/>
      <c r="O63" s="254"/>
      <c r="P63" s="254"/>
    </row>
    <row r="64" spans="1:11" ht="14.25">
      <c r="A64" s="116"/>
      <c r="K64" s="116"/>
    </row>
    <row r="65" spans="1:16" ht="14.25">
      <c r="A65" s="116"/>
      <c r="B65" s="4" t="s">
        <v>46</v>
      </c>
      <c r="C65" s="4" t="s">
        <v>211</v>
      </c>
      <c r="D65" s="4"/>
      <c r="E65" s="4"/>
      <c r="F65" s="4"/>
      <c r="G65" s="4"/>
      <c r="H65" s="4"/>
      <c r="I65" s="4"/>
      <c r="J65" s="4"/>
      <c r="K65" s="258"/>
      <c r="L65" s="252"/>
      <c r="M65" s="252"/>
      <c r="N65" s="252"/>
      <c r="O65" s="252"/>
      <c r="P65" s="252"/>
    </row>
    <row r="66" spans="1:16" ht="14.25">
      <c r="A66" s="116"/>
      <c r="B66" s="4"/>
      <c r="C66" s="4" t="s">
        <v>47</v>
      </c>
      <c r="D66" s="4"/>
      <c r="E66" s="4"/>
      <c r="F66" s="4"/>
      <c r="G66" s="4"/>
      <c r="H66" s="4"/>
      <c r="I66" s="4"/>
      <c r="J66" s="4"/>
      <c r="K66" s="258"/>
      <c r="L66" s="252"/>
      <c r="M66" s="252"/>
      <c r="N66" s="252"/>
      <c r="O66" s="252"/>
      <c r="P66" s="252"/>
    </row>
    <row r="67" spans="1:11" ht="15" thickBot="1">
      <c r="A67" s="116"/>
      <c r="K67" s="116"/>
    </row>
    <row r="68" spans="1:11" ht="18" customHeight="1" thickBot="1">
      <c r="A68" s="116"/>
      <c r="C68" s="28" t="s">
        <v>34</v>
      </c>
      <c r="D68" s="193">
        <v>2000</v>
      </c>
      <c r="E68" s="194">
        <v>2001</v>
      </c>
      <c r="F68" s="194">
        <v>2002</v>
      </c>
      <c r="G68" s="194">
        <v>2003</v>
      </c>
      <c r="H68" s="195">
        <v>2004</v>
      </c>
      <c r="K68" s="116"/>
    </row>
    <row r="69" spans="1:11" ht="35.25" customHeight="1" thickBot="1">
      <c r="A69" s="116"/>
      <c r="C69" s="27" t="s">
        <v>92</v>
      </c>
      <c r="D69" s="207">
        <v>97.8</v>
      </c>
      <c r="E69" s="229">
        <v>103.08</v>
      </c>
      <c r="F69" s="230">
        <v>95.09</v>
      </c>
      <c r="G69" s="230">
        <v>92.13</v>
      </c>
      <c r="H69" s="231">
        <v>104.75</v>
      </c>
      <c r="K69" s="116"/>
    </row>
    <row r="70" spans="1:11" ht="18" customHeight="1" thickBot="1">
      <c r="A70" s="116"/>
      <c r="C70" s="163" t="s">
        <v>153</v>
      </c>
      <c r="D70" s="232" t="s">
        <v>48</v>
      </c>
      <c r="E70" s="233">
        <f>E69-100</f>
        <v>3.0799999999999983</v>
      </c>
      <c r="F70" s="233">
        <f>(F69/100-1)*100</f>
        <v>-4.909999999999992</v>
      </c>
      <c r="G70" s="233">
        <f>(G69/100-1)*100</f>
        <v>-7.869999999999999</v>
      </c>
      <c r="H70" s="237">
        <f>(H69/100-1)*100</f>
        <v>4.75000000000001</v>
      </c>
      <c r="K70" s="116"/>
    </row>
    <row r="71" spans="1:11" ht="14.25">
      <c r="A71" s="116"/>
      <c r="C71" s="17"/>
      <c r="D71" s="167"/>
      <c r="E71" s="167"/>
      <c r="F71" s="167"/>
      <c r="G71" s="167"/>
      <c r="H71" s="167"/>
      <c r="K71" s="116"/>
    </row>
    <row r="72" spans="1:16" ht="14.25">
      <c r="A72" s="116"/>
      <c r="B72" s="5" t="s">
        <v>50</v>
      </c>
      <c r="C72" s="5"/>
      <c r="D72" s="5"/>
      <c r="E72" s="5"/>
      <c r="F72" s="5"/>
      <c r="G72" s="5"/>
      <c r="H72" s="5"/>
      <c r="I72" s="5"/>
      <c r="J72" s="5"/>
      <c r="K72" s="257"/>
      <c r="L72" s="254"/>
      <c r="M72" s="254"/>
      <c r="N72" s="254"/>
      <c r="O72" s="254"/>
      <c r="P72" s="254"/>
    </row>
    <row r="73" spans="1:16" ht="14.25">
      <c r="A73" s="116"/>
      <c r="B73" s="101"/>
      <c r="C73" s="101"/>
      <c r="D73" s="101"/>
      <c r="E73" s="101"/>
      <c r="F73" s="101"/>
      <c r="G73" s="101"/>
      <c r="H73" s="101"/>
      <c r="I73" s="101"/>
      <c r="J73" s="101"/>
      <c r="K73" s="268"/>
      <c r="L73" s="265"/>
      <c r="M73" s="265"/>
      <c r="N73" s="265"/>
      <c r="O73" s="265"/>
      <c r="P73" s="265"/>
    </row>
    <row r="74" spans="1:11" ht="17.25">
      <c r="A74" s="116"/>
      <c r="C74" s="166" t="s">
        <v>154</v>
      </c>
      <c r="D74" s="304">
        <f>((($H$61/$E$61)^(1/3)))-1</f>
        <v>-0.02823038235281694</v>
      </c>
      <c r="E74" s="167"/>
      <c r="F74" s="167"/>
      <c r="G74" s="167"/>
      <c r="H74" s="167"/>
      <c r="K74" s="116"/>
    </row>
    <row r="75" spans="1:11" ht="14.25">
      <c r="A75" s="116"/>
      <c r="K75" s="116"/>
    </row>
    <row r="76" spans="1:16" ht="14.25">
      <c r="A76" s="142" t="s">
        <v>19</v>
      </c>
      <c r="B76" s="5" t="s">
        <v>51</v>
      </c>
      <c r="C76" s="5"/>
      <c r="D76" s="5"/>
      <c r="E76" s="5"/>
      <c r="F76" s="5"/>
      <c r="G76" s="5"/>
      <c r="H76" s="5"/>
      <c r="I76" s="5"/>
      <c r="J76" s="5"/>
      <c r="K76" s="257"/>
      <c r="L76" s="254"/>
      <c r="M76" s="254"/>
      <c r="N76" s="254"/>
      <c r="O76" s="254"/>
      <c r="P76" s="254"/>
    </row>
    <row r="77" spans="1:11" ht="15" thickBot="1">
      <c r="A77" s="116"/>
      <c r="K77" s="116"/>
    </row>
    <row r="78" spans="1:11" ht="18" customHeight="1" thickBot="1">
      <c r="A78" s="116"/>
      <c r="C78" s="56" t="s">
        <v>34</v>
      </c>
      <c r="D78" s="193">
        <v>2000</v>
      </c>
      <c r="E78" s="194">
        <v>2001</v>
      </c>
      <c r="F78" s="194">
        <v>2002</v>
      </c>
      <c r="G78" s="194">
        <v>2003</v>
      </c>
      <c r="H78" s="195">
        <v>2004</v>
      </c>
      <c r="K78" s="116"/>
    </row>
    <row r="79" spans="1:11" ht="33" customHeight="1" thickBot="1">
      <c r="A79" s="116"/>
      <c r="C79" s="27" t="s">
        <v>152</v>
      </c>
      <c r="D79" s="207">
        <v>100</v>
      </c>
      <c r="E79" s="229">
        <v>103.08</v>
      </c>
      <c r="F79" s="229">
        <v>95.86</v>
      </c>
      <c r="G79" s="229">
        <v>88.32</v>
      </c>
      <c r="H79" s="236">
        <v>92.51</v>
      </c>
      <c r="K79" s="116"/>
    </row>
    <row r="80" spans="1:11" ht="18" customHeight="1" thickBot="1">
      <c r="A80" s="116"/>
      <c r="C80" s="56" t="s">
        <v>52</v>
      </c>
      <c r="D80" s="232">
        <v>61526</v>
      </c>
      <c r="E80" s="238">
        <f>($D$80*E79/100)</f>
        <v>63421.0008</v>
      </c>
      <c r="F80" s="238">
        <f>($D$80*F79/100)</f>
        <v>58978.8236</v>
      </c>
      <c r="G80" s="238">
        <f>($D$80*G79/100)</f>
        <v>54339.763199999994</v>
      </c>
      <c r="H80" s="239">
        <f>($D$80*H79/100)</f>
        <v>56917.702600000004</v>
      </c>
      <c r="K80" s="116"/>
    </row>
    <row r="81" spans="1:11" ht="14.25">
      <c r="A81" s="116"/>
      <c r="K81" s="116"/>
    </row>
    <row r="82" spans="1:16" ht="14.25">
      <c r="A82" s="143"/>
      <c r="B82" s="115"/>
      <c r="C82" s="115"/>
      <c r="D82" s="115"/>
      <c r="E82" s="167"/>
      <c r="F82" s="115"/>
      <c r="G82" s="115"/>
      <c r="H82" s="115"/>
      <c r="I82" s="115"/>
      <c r="J82" s="115"/>
      <c r="K82" s="143"/>
      <c r="L82" s="262"/>
      <c r="M82" s="262"/>
      <c r="N82" s="262"/>
      <c r="O82" s="262"/>
      <c r="P82" s="262"/>
    </row>
    <row r="83" spans="1:16" ht="14.25">
      <c r="A83" s="144" t="s">
        <v>100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43"/>
      <c r="L83" s="262"/>
      <c r="M83" s="262"/>
      <c r="N83" s="262"/>
      <c r="O83" s="262"/>
      <c r="P83" s="262"/>
    </row>
    <row r="84" spans="1:11" ht="6" customHeight="1">
      <c r="A84" s="141"/>
      <c r="E84" s="115"/>
      <c r="K84" s="116"/>
    </row>
    <row r="85" spans="1:16" ht="14.25">
      <c r="A85" s="142" t="s">
        <v>15</v>
      </c>
      <c r="B85" s="5" t="s">
        <v>53</v>
      </c>
      <c r="C85" s="5"/>
      <c r="D85" s="5"/>
      <c r="E85" s="5"/>
      <c r="F85" s="5"/>
      <c r="G85" s="5"/>
      <c r="H85" s="5"/>
      <c r="I85" s="5"/>
      <c r="J85" s="5"/>
      <c r="K85" s="257"/>
      <c r="L85" s="254"/>
      <c r="M85" s="254"/>
      <c r="N85" s="254"/>
      <c r="O85" s="254"/>
      <c r="P85" s="254"/>
    </row>
    <row r="86" spans="1:11" ht="14.25" thickBot="1">
      <c r="A86" s="142"/>
      <c r="E86" s="115"/>
      <c r="J86" s="170"/>
      <c r="K86" s="116"/>
    </row>
    <row r="87" spans="1:11" ht="37.5" customHeight="1" thickBot="1">
      <c r="A87" s="116"/>
      <c r="C87" s="169" t="s">
        <v>35</v>
      </c>
      <c r="D87" s="30" t="s">
        <v>55</v>
      </c>
      <c r="E87" s="31" t="s">
        <v>124</v>
      </c>
      <c r="F87" s="34" t="s">
        <v>155</v>
      </c>
      <c r="G87" s="34" t="s">
        <v>156</v>
      </c>
      <c r="H87" s="34" t="s">
        <v>157</v>
      </c>
      <c r="I87" s="30" t="s">
        <v>158</v>
      </c>
      <c r="J87" s="269"/>
      <c r="K87" s="116"/>
    </row>
    <row r="88" spans="1:23" s="128" customFormat="1" ht="18" customHeight="1">
      <c r="A88" s="240"/>
      <c r="C88" s="210" t="s">
        <v>40</v>
      </c>
      <c r="D88" s="241">
        <v>1</v>
      </c>
      <c r="E88" s="211">
        <v>28</v>
      </c>
      <c r="F88" s="68">
        <f>E88</f>
        <v>28</v>
      </c>
      <c r="G88" s="70">
        <f aca="true" t="shared" si="0" ref="G88:G93">D88/6</f>
        <v>0.16666666666666666</v>
      </c>
      <c r="H88" s="70">
        <f aca="true" t="shared" si="1" ref="H88:H93">F88/$F$93</f>
        <v>0.1037037037037037</v>
      </c>
      <c r="I88" s="70">
        <f>G88-H88</f>
        <v>0.06296296296296296</v>
      </c>
      <c r="J88" s="270"/>
      <c r="K88" s="240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</row>
    <row r="89" spans="1:23" s="128" customFormat="1" ht="18" customHeight="1">
      <c r="A89" s="240"/>
      <c r="C89" s="213" t="s">
        <v>39</v>
      </c>
      <c r="D89" s="228">
        <v>2</v>
      </c>
      <c r="E89" s="214">
        <v>31</v>
      </c>
      <c r="F89" s="72">
        <f>F88+E89</f>
        <v>59</v>
      </c>
      <c r="G89" s="74">
        <f t="shared" si="0"/>
        <v>0.3333333333333333</v>
      </c>
      <c r="H89" s="74">
        <f t="shared" si="1"/>
        <v>0.21851851851851853</v>
      </c>
      <c r="I89" s="74">
        <f>G89-H89</f>
        <v>0.11481481481481479</v>
      </c>
      <c r="J89" s="270"/>
      <c r="K89" s="240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</row>
    <row r="90" spans="1:23" s="128" customFormat="1" ht="18" customHeight="1">
      <c r="A90" s="240"/>
      <c r="C90" s="213" t="s">
        <v>37</v>
      </c>
      <c r="D90" s="228">
        <v>3</v>
      </c>
      <c r="E90" s="214">
        <v>32</v>
      </c>
      <c r="F90" s="72">
        <f>F89+E90</f>
        <v>91</v>
      </c>
      <c r="G90" s="74">
        <f t="shared" si="0"/>
        <v>0.5</v>
      </c>
      <c r="H90" s="74">
        <f t="shared" si="1"/>
        <v>0.337037037037037</v>
      </c>
      <c r="I90" s="74">
        <f>G90-H90</f>
        <v>0.16296296296296298</v>
      </c>
      <c r="J90" s="270"/>
      <c r="K90" s="240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</row>
    <row r="91" spans="1:23" s="128" customFormat="1" ht="18" customHeight="1">
      <c r="A91" s="240"/>
      <c r="C91" s="213" t="s">
        <v>38</v>
      </c>
      <c r="D91" s="228">
        <v>4</v>
      </c>
      <c r="E91" s="214">
        <v>52</v>
      </c>
      <c r="F91" s="72">
        <f>F90+E91</f>
        <v>143</v>
      </c>
      <c r="G91" s="74">
        <f t="shared" si="0"/>
        <v>0.6666666666666666</v>
      </c>
      <c r="H91" s="74">
        <f t="shared" si="1"/>
        <v>0.5296296296296297</v>
      </c>
      <c r="I91" s="74">
        <f>G91-H91</f>
        <v>0.13703703703703696</v>
      </c>
      <c r="J91" s="270"/>
      <c r="K91" s="240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</row>
    <row r="92" spans="1:23" s="128" customFormat="1" ht="18" customHeight="1">
      <c r="A92" s="240"/>
      <c r="C92" s="213" t="s">
        <v>42</v>
      </c>
      <c r="D92" s="228">
        <v>5</v>
      </c>
      <c r="E92" s="214">
        <v>53</v>
      </c>
      <c r="F92" s="72">
        <f>F91+E92</f>
        <v>196</v>
      </c>
      <c r="G92" s="74">
        <f t="shared" si="0"/>
        <v>0.8333333333333334</v>
      </c>
      <c r="H92" s="74">
        <f t="shared" si="1"/>
        <v>0.725925925925926</v>
      </c>
      <c r="I92" s="74">
        <f>G92-H92</f>
        <v>0.1074074074074074</v>
      </c>
      <c r="J92" s="270"/>
      <c r="K92" s="240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</row>
    <row r="93" spans="1:23" s="128" customFormat="1" ht="18" customHeight="1" thickBot="1">
      <c r="A93" s="240"/>
      <c r="C93" s="215" t="s">
        <v>41</v>
      </c>
      <c r="D93" s="242">
        <v>6</v>
      </c>
      <c r="E93" s="216">
        <v>74</v>
      </c>
      <c r="F93" s="76">
        <f>F92+E93</f>
        <v>270</v>
      </c>
      <c r="G93" s="78">
        <f t="shared" si="0"/>
        <v>1</v>
      </c>
      <c r="H93" s="78">
        <f t="shared" si="1"/>
        <v>1</v>
      </c>
      <c r="I93" s="78" t="s">
        <v>48</v>
      </c>
      <c r="J93" s="270"/>
      <c r="K93" s="240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</row>
    <row r="94" spans="1:23" s="128" customFormat="1" ht="18" customHeight="1" thickBot="1">
      <c r="A94" s="240"/>
      <c r="C94" s="243" t="s">
        <v>28</v>
      </c>
      <c r="D94" s="56"/>
      <c r="E94" s="244">
        <f>SUM(E88:E93)</f>
        <v>270</v>
      </c>
      <c r="F94" s="245"/>
      <c r="I94" s="44">
        <f>SUM(I88:I93)</f>
        <v>0.585185185185185</v>
      </c>
      <c r="J94" s="271"/>
      <c r="K94" s="240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</row>
    <row r="95" spans="1:11" ht="30" customHeight="1">
      <c r="A95" s="116"/>
      <c r="J95" s="170"/>
      <c r="K95" s="116"/>
    </row>
    <row r="96" spans="1:11" ht="17.25">
      <c r="A96" s="116"/>
      <c r="C96" s="335" t="s">
        <v>212</v>
      </c>
      <c r="D96" s="335"/>
      <c r="E96" s="111">
        <f>(2/(D93-1))*I94</f>
        <v>0.23407407407407402</v>
      </c>
      <c r="K96" s="116"/>
    </row>
    <row r="97" spans="1:11" ht="14.25">
      <c r="A97" s="116"/>
      <c r="K97" s="116"/>
    </row>
    <row r="98" spans="1:11" ht="14.25">
      <c r="A98" s="116"/>
      <c r="K98" s="116"/>
    </row>
    <row r="99" spans="1:11" ht="14.25">
      <c r="A99" s="116"/>
      <c r="K99" s="116"/>
    </row>
    <row r="100" spans="1:11" ht="14.25">
      <c r="A100" s="116"/>
      <c r="K100" s="116"/>
    </row>
    <row r="101" spans="1:11" ht="14.25">
      <c r="A101" s="116"/>
      <c r="K101" s="116"/>
    </row>
    <row r="102" spans="1:11" ht="14.25">
      <c r="A102" s="116"/>
      <c r="K102" s="116"/>
    </row>
    <row r="103" spans="1:11" ht="14.25">
      <c r="A103" s="116"/>
      <c r="K103" s="116"/>
    </row>
    <row r="104" spans="1:11" ht="14.25">
      <c r="A104" s="116"/>
      <c r="K104" s="116"/>
    </row>
    <row r="105" spans="1:11" ht="14.25">
      <c r="A105" s="116"/>
      <c r="K105" s="116"/>
    </row>
    <row r="106" spans="1:11" ht="14.25">
      <c r="A106" s="116"/>
      <c r="K106" s="116"/>
    </row>
    <row r="107" spans="1:11" ht="14.25">
      <c r="A107" s="116"/>
      <c r="K107" s="116"/>
    </row>
    <row r="108" spans="1:11" ht="14.25">
      <c r="A108" s="116"/>
      <c r="K108" s="116"/>
    </row>
    <row r="109" spans="1:11" ht="14.25">
      <c r="A109" s="116"/>
      <c r="K109" s="116"/>
    </row>
    <row r="110" spans="1:11" ht="14.25">
      <c r="A110" s="116"/>
      <c r="K110" s="116"/>
    </row>
    <row r="111" spans="1:11" ht="14.25">
      <c r="A111" s="116"/>
      <c r="K111" s="116"/>
    </row>
    <row r="112" spans="1:11" ht="14.25">
      <c r="A112" s="116"/>
      <c r="K112" s="116"/>
    </row>
    <row r="113" spans="1:11" ht="14.25">
      <c r="A113" s="116"/>
      <c r="K113" s="116"/>
    </row>
    <row r="114" spans="1:11" ht="14.25">
      <c r="A114" s="116"/>
      <c r="K114" s="116"/>
    </row>
    <row r="115" spans="1:11" ht="14.25">
      <c r="A115" s="116"/>
      <c r="K115" s="116"/>
    </row>
    <row r="116" spans="1:23" s="115" customFormat="1" ht="14.25">
      <c r="A116" s="143"/>
      <c r="K116" s="143"/>
      <c r="L116" s="262"/>
      <c r="M116" s="262"/>
      <c r="N116" s="262"/>
      <c r="O116" s="262"/>
      <c r="P116" s="262"/>
      <c r="Q116" s="262"/>
      <c r="R116" s="262"/>
      <c r="S116" s="262"/>
      <c r="T116" s="262"/>
      <c r="U116" s="262"/>
      <c r="V116" s="262"/>
      <c r="W116" s="262"/>
    </row>
    <row r="117" spans="1:23" s="115" customFormat="1" ht="13.5">
      <c r="A117" s="144" t="s">
        <v>101</v>
      </c>
      <c r="K117" s="143"/>
      <c r="L117" s="262"/>
      <c r="M117" s="262"/>
      <c r="N117" s="262"/>
      <c r="O117" s="262"/>
      <c r="P117" s="262"/>
      <c r="Q117" s="262"/>
      <c r="R117" s="262"/>
      <c r="S117" s="262"/>
      <c r="T117" s="262"/>
      <c r="U117" s="262"/>
      <c r="V117" s="262"/>
      <c r="W117" s="262"/>
    </row>
    <row r="118" spans="1:11" ht="7.5" customHeight="1">
      <c r="A118" s="141"/>
      <c r="K118" s="116"/>
    </row>
    <row r="119" spans="1:16" ht="13.5">
      <c r="A119" s="142" t="s">
        <v>15</v>
      </c>
      <c r="B119" s="5" t="s">
        <v>194</v>
      </c>
      <c r="C119" s="5"/>
      <c r="D119" s="5"/>
      <c r="E119" s="5"/>
      <c r="F119" s="5"/>
      <c r="G119" s="5"/>
      <c r="H119" s="5"/>
      <c r="I119" s="5"/>
      <c r="J119" s="5"/>
      <c r="K119" s="257"/>
      <c r="L119" s="254"/>
      <c r="M119" s="254"/>
      <c r="N119" s="254"/>
      <c r="O119" s="254"/>
      <c r="P119" s="254"/>
    </row>
    <row r="120" spans="1:16" ht="13.5">
      <c r="A120" s="142"/>
      <c r="B120" s="5" t="s">
        <v>193</v>
      </c>
      <c r="C120" s="5"/>
      <c r="D120" s="5"/>
      <c r="E120" s="5"/>
      <c r="F120" s="5"/>
      <c r="G120" s="5"/>
      <c r="H120" s="5"/>
      <c r="I120" s="5"/>
      <c r="J120" s="5"/>
      <c r="K120" s="257"/>
      <c r="L120" s="254"/>
      <c r="M120" s="254"/>
      <c r="N120" s="254"/>
      <c r="O120" s="254"/>
      <c r="P120" s="254"/>
    </row>
    <row r="121" spans="1:11" ht="24.75" customHeight="1" thickBot="1">
      <c r="A121" s="116"/>
      <c r="K121" s="116"/>
    </row>
    <row r="122" spans="1:23" s="158" customFormat="1" ht="18" customHeight="1" thickBot="1">
      <c r="A122" s="157"/>
      <c r="C122" s="29" t="s">
        <v>43</v>
      </c>
      <c r="D122" s="31" t="s">
        <v>159</v>
      </c>
      <c r="E122" s="31" t="s">
        <v>160</v>
      </c>
      <c r="F122" s="31" t="s">
        <v>97</v>
      </c>
      <c r="K122" s="157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</row>
    <row r="123" spans="1:23" s="158" customFormat="1" ht="18" customHeight="1">
      <c r="A123" s="157"/>
      <c r="C123" s="246">
        <v>1</v>
      </c>
      <c r="D123" s="211">
        <f>COUNTIF($C$32:$C$43,1)</f>
        <v>2</v>
      </c>
      <c r="E123" s="70">
        <f>D123/$D$128</f>
        <v>0.16666666666666666</v>
      </c>
      <c r="F123" s="247">
        <f>E123</f>
        <v>0.16666666666666666</v>
      </c>
      <c r="K123" s="157"/>
      <c r="L123" s="202"/>
      <c r="M123" s="202"/>
      <c r="N123" s="202"/>
      <c r="O123" s="202"/>
      <c r="P123" s="202"/>
      <c r="Q123" s="202"/>
      <c r="R123" s="202"/>
      <c r="S123" s="202"/>
      <c r="T123" s="202"/>
      <c r="U123" s="202"/>
      <c r="V123" s="202"/>
      <c r="W123" s="202"/>
    </row>
    <row r="124" spans="1:23" s="158" customFormat="1" ht="18" customHeight="1">
      <c r="A124" s="157"/>
      <c r="C124" s="227">
        <v>2</v>
      </c>
      <c r="D124" s="227">
        <f>COUNTIF($C$32:$C$43,2)</f>
        <v>4</v>
      </c>
      <c r="E124" s="74">
        <f>D124/$D$128</f>
        <v>0.3333333333333333</v>
      </c>
      <c r="F124" s="248">
        <f>F123+E124</f>
        <v>0.5</v>
      </c>
      <c r="K124" s="157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  <c r="V124" s="202"/>
      <c r="W124" s="202"/>
    </row>
    <row r="125" spans="1:23" s="158" customFormat="1" ht="18" customHeight="1">
      <c r="A125" s="157"/>
      <c r="C125" s="227">
        <v>3</v>
      </c>
      <c r="D125" s="227">
        <f>COUNTIF($C$32:$C$43,3)</f>
        <v>2</v>
      </c>
      <c r="E125" s="74">
        <f>D125/$D$128</f>
        <v>0.16666666666666666</v>
      </c>
      <c r="F125" s="248">
        <f>F124+E125</f>
        <v>0.6666666666666666</v>
      </c>
      <c r="K125" s="157"/>
      <c r="L125" s="202"/>
      <c r="M125" s="202"/>
      <c r="N125" s="202"/>
      <c r="O125" s="202"/>
      <c r="P125" s="202"/>
      <c r="Q125" s="202"/>
      <c r="R125" s="202"/>
      <c r="S125" s="202"/>
      <c r="T125" s="202"/>
      <c r="U125" s="202"/>
      <c r="V125" s="202"/>
      <c r="W125" s="202"/>
    </row>
    <row r="126" spans="1:23" s="158" customFormat="1" ht="18" customHeight="1">
      <c r="A126" s="157"/>
      <c r="C126" s="227">
        <v>4</v>
      </c>
      <c r="D126" s="227">
        <f>COUNTIF($C$32:$C$43,4)</f>
        <v>3</v>
      </c>
      <c r="E126" s="74">
        <f>D126/$D$128</f>
        <v>0.25</v>
      </c>
      <c r="F126" s="248">
        <f>F125+E126</f>
        <v>0.9166666666666666</v>
      </c>
      <c r="K126" s="157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</row>
    <row r="127" spans="1:23" s="158" customFormat="1" ht="18" customHeight="1" thickBot="1">
      <c r="A127" s="157"/>
      <c r="C127" s="249">
        <v>5</v>
      </c>
      <c r="D127" s="249">
        <f>COUNTIF($C$32:$C$43,5)</f>
        <v>1</v>
      </c>
      <c r="E127" s="78">
        <f>D127/$D$128</f>
        <v>0.08333333333333333</v>
      </c>
      <c r="F127" s="250">
        <f>F126+E127</f>
        <v>1</v>
      </c>
      <c r="K127" s="157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</row>
    <row r="128" spans="1:23" s="158" customFormat="1" ht="18" customHeight="1" thickBot="1">
      <c r="A128" s="157"/>
      <c r="D128" s="276">
        <f>SUM(D123:D127)</f>
        <v>12</v>
      </c>
      <c r="E128" s="276">
        <f>SUM(E123:E127)</f>
        <v>1</v>
      </c>
      <c r="K128" s="157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</row>
    <row r="129" spans="1:11" ht="13.5">
      <c r="A129" s="116"/>
      <c r="K129" s="116"/>
    </row>
    <row r="130" spans="1:11" ht="14.25">
      <c r="A130" s="116"/>
      <c r="K130" s="116"/>
    </row>
    <row r="131" spans="1:11" ht="14.25">
      <c r="A131" s="116"/>
      <c r="K131" s="116"/>
    </row>
    <row r="132" spans="1:11" ht="14.25">
      <c r="A132" s="116"/>
      <c r="K132" s="116"/>
    </row>
    <row r="133" spans="1:11" ht="14.25">
      <c r="A133" s="116"/>
      <c r="K133" s="116"/>
    </row>
    <row r="134" spans="1:11" ht="14.25">
      <c r="A134" s="116"/>
      <c r="K134" s="116"/>
    </row>
    <row r="135" spans="1:11" ht="14.25">
      <c r="A135" s="116"/>
      <c r="K135" s="116"/>
    </row>
    <row r="136" spans="1:11" ht="14.25">
      <c r="A136" s="116"/>
      <c r="K136" s="116"/>
    </row>
    <row r="137" spans="1:11" ht="14.25">
      <c r="A137" s="116"/>
      <c r="K137" s="116"/>
    </row>
    <row r="138" spans="1:11" ht="14.25">
      <c r="A138" s="116"/>
      <c r="K138" s="116"/>
    </row>
    <row r="139" spans="1:11" ht="14.25">
      <c r="A139" s="116"/>
      <c r="K139" s="116"/>
    </row>
    <row r="140" spans="1:11" ht="14.25">
      <c r="A140" s="116"/>
      <c r="K140" s="116"/>
    </row>
    <row r="141" spans="1:11" ht="14.25">
      <c r="A141" s="116"/>
      <c r="K141" s="116"/>
    </row>
    <row r="142" spans="1:11" ht="14.25">
      <c r="A142" s="116"/>
      <c r="K142" s="116"/>
    </row>
    <row r="143" spans="1:11" ht="14.25">
      <c r="A143" s="116"/>
      <c r="K143" s="116"/>
    </row>
    <row r="144" spans="1:11" ht="14.25">
      <c r="A144" s="116"/>
      <c r="K144" s="116"/>
    </row>
    <row r="145" spans="1:11" ht="13.5">
      <c r="A145" s="116"/>
      <c r="K145" s="116"/>
    </row>
    <row r="146" spans="1:16" ht="13.5">
      <c r="A146" s="142" t="s">
        <v>17</v>
      </c>
      <c r="B146" s="5" t="s">
        <v>195</v>
      </c>
      <c r="C146" s="5"/>
      <c r="D146" s="5"/>
      <c r="E146" s="5"/>
      <c r="F146" s="5"/>
      <c r="G146" s="5"/>
      <c r="H146" s="5"/>
      <c r="I146" s="5"/>
      <c r="J146" s="5"/>
      <c r="K146" s="257"/>
      <c r="L146" s="254"/>
      <c r="M146" s="254"/>
      <c r="N146" s="254"/>
      <c r="O146" s="254"/>
      <c r="P146" s="254"/>
    </row>
    <row r="147" spans="1:16" ht="15">
      <c r="A147" s="116"/>
      <c r="B147" s="5" t="s">
        <v>196</v>
      </c>
      <c r="C147" s="5"/>
      <c r="D147" s="5"/>
      <c r="E147" s="5"/>
      <c r="F147" s="5"/>
      <c r="G147" s="5"/>
      <c r="H147" s="5"/>
      <c r="I147" s="5"/>
      <c r="J147" s="5"/>
      <c r="K147" s="257"/>
      <c r="L147" s="254"/>
      <c r="M147" s="254"/>
      <c r="N147" s="254"/>
      <c r="O147" s="254"/>
      <c r="P147" s="254"/>
    </row>
    <row r="148" spans="1:11" ht="24.75" customHeight="1" thickBot="1">
      <c r="A148" s="116"/>
      <c r="J148" s="170"/>
      <c r="K148" s="116"/>
    </row>
    <row r="149" spans="1:11" ht="16.5" thickBot="1">
      <c r="A149" s="116"/>
      <c r="C149" s="171" t="s">
        <v>161</v>
      </c>
      <c r="D149" s="171" t="s">
        <v>162</v>
      </c>
      <c r="E149" s="172" t="s">
        <v>163</v>
      </c>
      <c r="F149" s="172" t="s">
        <v>164</v>
      </c>
      <c r="G149" s="173" t="s">
        <v>165</v>
      </c>
      <c r="H149" s="173" t="s">
        <v>166</v>
      </c>
      <c r="I149" s="173" t="s">
        <v>170</v>
      </c>
      <c r="J149" s="272"/>
      <c r="K149" s="116"/>
    </row>
    <row r="150" spans="1:11" ht="13.5">
      <c r="A150" s="116"/>
      <c r="C150" s="9">
        <v>1</v>
      </c>
      <c r="D150" s="174">
        <v>949</v>
      </c>
      <c r="E150" s="175">
        <f>C150-$D$164</f>
        <v>-1.75</v>
      </c>
      <c r="F150" s="176">
        <f>D150-$D$165</f>
        <v>-165.16666666666674</v>
      </c>
      <c r="G150" s="175">
        <f>E150^2</f>
        <v>3.0625</v>
      </c>
      <c r="H150" s="176">
        <f>F150^2</f>
        <v>27280.027777777803</v>
      </c>
      <c r="I150" s="177">
        <f>E150*F150</f>
        <v>289.0416666666668</v>
      </c>
      <c r="J150" s="267"/>
      <c r="K150" s="116"/>
    </row>
    <row r="151" spans="1:11" ht="13.5">
      <c r="A151" s="116"/>
      <c r="C151" s="10">
        <v>2</v>
      </c>
      <c r="D151" s="178">
        <v>1396</v>
      </c>
      <c r="E151" s="179">
        <f aca="true" t="shared" si="2" ref="E151:E161">C151-$D$164</f>
        <v>-0.75</v>
      </c>
      <c r="F151" s="180">
        <f aca="true" t="shared" si="3" ref="F151:F161">D151-$D$165</f>
        <v>281.83333333333326</v>
      </c>
      <c r="G151" s="179">
        <f aca="true" t="shared" si="4" ref="G151:G161">E151^2</f>
        <v>0.5625</v>
      </c>
      <c r="H151" s="180">
        <f aca="true" t="shared" si="5" ref="H151:H161">F151^2</f>
        <v>79430.02777777774</v>
      </c>
      <c r="I151" s="181">
        <f aca="true" t="shared" si="6" ref="I151:I161">E151*F151</f>
        <v>-211.37499999999994</v>
      </c>
      <c r="J151" s="267"/>
      <c r="K151" s="116"/>
    </row>
    <row r="152" spans="1:11" ht="13.5">
      <c r="A152" s="116"/>
      <c r="C152" s="10">
        <v>1</v>
      </c>
      <c r="D152" s="178">
        <v>700</v>
      </c>
      <c r="E152" s="179">
        <f t="shared" si="2"/>
        <v>-1.75</v>
      </c>
      <c r="F152" s="180">
        <f t="shared" si="3"/>
        <v>-414.16666666666674</v>
      </c>
      <c r="G152" s="179">
        <f t="shared" si="4"/>
        <v>3.0625</v>
      </c>
      <c r="H152" s="180">
        <f t="shared" si="5"/>
        <v>171534.02777777784</v>
      </c>
      <c r="I152" s="181">
        <f t="shared" si="6"/>
        <v>724.7916666666667</v>
      </c>
      <c r="J152" s="267"/>
      <c r="K152" s="116"/>
    </row>
    <row r="153" spans="1:11" ht="13.5">
      <c r="A153" s="116"/>
      <c r="C153" s="10">
        <v>2</v>
      </c>
      <c r="D153" s="178">
        <v>664</v>
      </c>
      <c r="E153" s="179">
        <f t="shared" si="2"/>
        <v>-0.75</v>
      </c>
      <c r="F153" s="180">
        <f t="shared" si="3"/>
        <v>-450.16666666666674</v>
      </c>
      <c r="G153" s="179">
        <f t="shared" si="4"/>
        <v>0.5625</v>
      </c>
      <c r="H153" s="180">
        <f t="shared" si="5"/>
        <v>202650.02777777784</v>
      </c>
      <c r="I153" s="181">
        <f t="shared" si="6"/>
        <v>337.62500000000006</v>
      </c>
      <c r="J153" s="267"/>
      <c r="K153" s="116"/>
    </row>
    <row r="154" spans="1:11" ht="13.5">
      <c r="A154" s="116"/>
      <c r="C154" s="10">
        <v>2</v>
      </c>
      <c r="D154" s="178">
        <v>1057</v>
      </c>
      <c r="E154" s="179">
        <f t="shared" si="2"/>
        <v>-0.75</v>
      </c>
      <c r="F154" s="180">
        <f t="shared" si="3"/>
        <v>-57.16666666666674</v>
      </c>
      <c r="G154" s="179">
        <f t="shared" si="4"/>
        <v>0.5625</v>
      </c>
      <c r="H154" s="180">
        <f t="shared" si="5"/>
        <v>3268.0277777777865</v>
      </c>
      <c r="I154" s="181">
        <f t="shared" si="6"/>
        <v>42.87500000000006</v>
      </c>
      <c r="J154" s="267"/>
      <c r="K154" s="116"/>
    </row>
    <row r="155" spans="1:11" ht="13.5">
      <c r="A155" s="116"/>
      <c r="C155" s="10">
        <v>3</v>
      </c>
      <c r="D155" s="178">
        <v>1412</v>
      </c>
      <c r="E155" s="179">
        <f t="shared" si="2"/>
        <v>0.25</v>
      </c>
      <c r="F155" s="180">
        <f t="shared" si="3"/>
        <v>297.83333333333326</v>
      </c>
      <c r="G155" s="179">
        <f t="shared" si="4"/>
        <v>0.0625</v>
      </c>
      <c r="H155" s="180">
        <f t="shared" si="5"/>
        <v>88704.6944444444</v>
      </c>
      <c r="I155" s="181">
        <f t="shared" si="6"/>
        <v>74.45833333333331</v>
      </c>
      <c r="J155" s="267"/>
      <c r="K155" s="116"/>
    </row>
    <row r="156" spans="1:11" ht="13.5">
      <c r="A156" s="116"/>
      <c r="C156" s="10">
        <v>2</v>
      </c>
      <c r="D156" s="178">
        <v>733</v>
      </c>
      <c r="E156" s="179">
        <f t="shared" si="2"/>
        <v>-0.75</v>
      </c>
      <c r="F156" s="180">
        <f t="shared" si="3"/>
        <v>-381.16666666666674</v>
      </c>
      <c r="G156" s="179">
        <f t="shared" si="4"/>
        <v>0.5625</v>
      </c>
      <c r="H156" s="180">
        <f t="shared" si="5"/>
        <v>145288.02777777784</v>
      </c>
      <c r="I156" s="181">
        <f t="shared" si="6"/>
        <v>285.87500000000006</v>
      </c>
      <c r="J156" s="267"/>
      <c r="K156" s="116"/>
    </row>
    <row r="157" spans="1:11" ht="13.5">
      <c r="A157" s="116"/>
      <c r="C157" s="10">
        <v>4</v>
      </c>
      <c r="D157" s="178">
        <v>1558</v>
      </c>
      <c r="E157" s="179">
        <f t="shared" si="2"/>
        <v>1.25</v>
      </c>
      <c r="F157" s="180">
        <f t="shared" si="3"/>
        <v>443.83333333333326</v>
      </c>
      <c r="G157" s="179">
        <f t="shared" si="4"/>
        <v>1.5625</v>
      </c>
      <c r="H157" s="180">
        <f t="shared" si="5"/>
        <v>196988.02777777772</v>
      </c>
      <c r="I157" s="181">
        <f t="shared" si="6"/>
        <v>554.7916666666665</v>
      </c>
      <c r="J157" s="267"/>
      <c r="K157" s="116"/>
    </row>
    <row r="158" spans="1:11" ht="13.5">
      <c r="A158" s="116"/>
      <c r="C158" s="10">
        <v>4</v>
      </c>
      <c r="D158" s="178">
        <v>1269</v>
      </c>
      <c r="E158" s="179">
        <f t="shared" si="2"/>
        <v>1.25</v>
      </c>
      <c r="F158" s="180">
        <f t="shared" si="3"/>
        <v>154.83333333333326</v>
      </c>
      <c r="G158" s="179">
        <f t="shared" si="4"/>
        <v>1.5625</v>
      </c>
      <c r="H158" s="180">
        <f t="shared" si="5"/>
        <v>23973.361111111088</v>
      </c>
      <c r="I158" s="181">
        <f t="shared" si="6"/>
        <v>193.54166666666657</v>
      </c>
      <c r="J158" s="267"/>
      <c r="K158" s="116"/>
    </row>
    <row r="159" spans="1:11" ht="13.5">
      <c r="A159" s="116"/>
      <c r="C159" s="10">
        <v>4</v>
      </c>
      <c r="D159" s="178">
        <v>1371</v>
      </c>
      <c r="E159" s="179">
        <f t="shared" si="2"/>
        <v>1.25</v>
      </c>
      <c r="F159" s="180">
        <f t="shared" si="3"/>
        <v>256.83333333333326</v>
      </c>
      <c r="G159" s="179">
        <f t="shared" si="4"/>
        <v>1.5625</v>
      </c>
      <c r="H159" s="180">
        <f t="shared" si="5"/>
        <v>65963.36111111107</v>
      </c>
      <c r="I159" s="181">
        <f t="shared" si="6"/>
        <v>321.0416666666666</v>
      </c>
      <c r="J159" s="267"/>
      <c r="K159" s="116"/>
    </row>
    <row r="160" spans="1:11" ht="13.5">
      <c r="A160" s="116"/>
      <c r="C160" s="10">
        <v>5</v>
      </c>
      <c r="D160" s="178">
        <v>1476</v>
      </c>
      <c r="E160" s="179">
        <f t="shared" si="2"/>
        <v>2.25</v>
      </c>
      <c r="F160" s="180">
        <f t="shared" si="3"/>
        <v>361.83333333333326</v>
      </c>
      <c r="G160" s="179">
        <f t="shared" si="4"/>
        <v>5.0625</v>
      </c>
      <c r="H160" s="180">
        <f t="shared" si="5"/>
        <v>130923.36111111105</v>
      </c>
      <c r="I160" s="181">
        <f t="shared" si="6"/>
        <v>814.1249999999998</v>
      </c>
      <c r="J160" s="267"/>
      <c r="K160" s="116"/>
    </row>
    <row r="161" spans="1:11" ht="14.25" thickBot="1">
      <c r="A161" s="116"/>
      <c r="C161" s="11">
        <v>3</v>
      </c>
      <c r="D161" s="182">
        <v>785</v>
      </c>
      <c r="E161" s="183">
        <f t="shared" si="2"/>
        <v>0.25</v>
      </c>
      <c r="F161" s="184">
        <f t="shared" si="3"/>
        <v>-329.16666666666674</v>
      </c>
      <c r="G161" s="183">
        <f t="shared" si="4"/>
        <v>0.0625</v>
      </c>
      <c r="H161" s="184">
        <f t="shared" si="5"/>
        <v>108350.6944444445</v>
      </c>
      <c r="I161" s="185">
        <f t="shared" si="6"/>
        <v>-82.29166666666669</v>
      </c>
      <c r="J161" s="267"/>
      <c r="K161" s="116"/>
    </row>
    <row r="162" spans="1:11" ht="14.25" thickBot="1">
      <c r="A162" s="116"/>
      <c r="C162" s="15">
        <f>SUM(C150:C161)</f>
        <v>33</v>
      </c>
      <c r="D162" s="186">
        <f>SUM(D150:D161)</f>
        <v>13370</v>
      </c>
      <c r="E162" s="187"/>
      <c r="F162" s="187"/>
      <c r="G162" s="188">
        <f>SUM(G150:G161)</f>
        <v>18.25</v>
      </c>
      <c r="H162" s="189">
        <f>SUM(H150:H161)</f>
        <v>1244353.6666666667</v>
      </c>
      <c r="I162" s="189">
        <f>SUM(I150:I161)</f>
        <v>3344.4999999999995</v>
      </c>
      <c r="J162" s="273"/>
      <c r="K162" s="116"/>
    </row>
    <row r="163" spans="1:11" ht="24.75" customHeight="1">
      <c r="A163" s="116"/>
      <c r="J163" s="170"/>
      <c r="K163" s="116"/>
    </row>
    <row r="164" spans="1:11" ht="15">
      <c r="A164" s="116"/>
      <c r="C164" s="120" t="s">
        <v>167</v>
      </c>
      <c r="D164" s="100">
        <f>C162/12</f>
        <v>2.75</v>
      </c>
      <c r="J164" s="170"/>
      <c r="K164" s="116"/>
    </row>
    <row r="165" spans="1:11" ht="15">
      <c r="A165" s="116"/>
      <c r="C165" s="120" t="s">
        <v>168</v>
      </c>
      <c r="D165" s="111">
        <f>D162/12</f>
        <v>1114.1666666666667</v>
      </c>
      <c r="K165" s="116"/>
    </row>
    <row r="166" spans="1:11" ht="15">
      <c r="A166" s="116"/>
      <c r="C166" s="120" t="s">
        <v>169</v>
      </c>
      <c r="D166" s="111">
        <f>I162/G162</f>
        <v>183.2602739726027</v>
      </c>
      <c r="F166" s="334" t="s">
        <v>213</v>
      </c>
      <c r="G166" s="334"/>
      <c r="K166" s="116"/>
    </row>
    <row r="167" spans="1:11" ht="15">
      <c r="A167" s="116"/>
      <c r="C167" s="120" t="s">
        <v>128</v>
      </c>
      <c r="D167" s="111">
        <f>D165-(D166*D164)</f>
        <v>610.2009132420093</v>
      </c>
      <c r="K167" s="116"/>
    </row>
    <row r="168" spans="1:11" ht="24" customHeight="1">
      <c r="A168" s="116"/>
      <c r="C168" s="120"/>
      <c r="D168" s="111"/>
      <c r="K168" s="116"/>
    </row>
    <row r="169" spans="1:16" ht="13.5">
      <c r="A169" s="142" t="s">
        <v>19</v>
      </c>
      <c r="B169" s="5" t="s">
        <v>56</v>
      </c>
      <c r="C169" s="5"/>
      <c r="D169" s="5"/>
      <c r="E169" s="5"/>
      <c r="F169" s="5"/>
      <c r="G169" s="5"/>
      <c r="H169" s="5"/>
      <c r="I169" s="5"/>
      <c r="J169" s="5"/>
      <c r="K169" s="257"/>
      <c r="L169" s="254"/>
      <c r="M169" s="254"/>
      <c r="N169" s="254"/>
      <c r="O169" s="254"/>
      <c r="P169" s="254"/>
    </row>
    <row r="170" spans="1:11" ht="27" customHeight="1">
      <c r="A170" s="116"/>
      <c r="K170" s="116"/>
    </row>
    <row r="171" spans="1:11" ht="14.25">
      <c r="A171" s="116"/>
      <c r="K171" s="116"/>
    </row>
    <row r="172" spans="1:11" ht="14.25">
      <c r="A172" s="116"/>
      <c r="K172" s="116"/>
    </row>
    <row r="173" spans="1:11" ht="14.25">
      <c r="A173" s="116"/>
      <c r="K173" s="116"/>
    </row>
    <row r="174" spans="1:11" ht="14.25">
      <c r="A174" s="116"/>
      <c r="K174" s="116"/>
    </row>
    <row r="175" spans="1:11" ht="14.25">
      <c r="A175" s="116"/>
      <c r="K175" s="116"/>
    </row>
    <row r="176" spans="1:11" ht="14.25">
      <c r="A176" s="116"/>
      <c r="K176" s="116"/>
    </row>
    <row r="177" spans="1:11" ht="14.25">
      <c r="A177" s="116"/>
      <c r="K177" s="116"/>
    </row>
    <row r="178" spans="1:11" ht="14.25">
      <c r="A178" s="116"/>
      <c r="K178" s="116"/>
    </row>
    <row r="179" spans="1:11" ht="14.25">
      <c r="A179" s="116"/>
      <c r="K179" s="116"/>
    </row>
    <row r="180" spans="1:11" ht="14.25">
      <c r="A180" s="116"/>
      <c r="K180" s="116"/>
    </row>
    <row r="181" spans="1:11" ht="14.25">
      <c r="A181" s="116"/>
      <c r="K181" s="116"/>
    </row>
    <row r="182" spans="1:11" ht="14.25">
      <c r="A182" s="116"/>
      <c r="K182" s="116"/>
    </row>
    <row r="183" spans="1:11" ht="14.25">
      <c r="A183" s="116"/>
      <c r="K183" s="116"/>
    </row>
    <row r="184" spans="1:11" ht="14.25">
      <c r="A184" s="116"/>
      <c r="K184" s="116"/>
    </row>
    <row r="185" spans="1:11" ht="14.25">
      <c r="A185" s="116"/>
      <c r="K185" s="116"/>
    </row>
    <row r="186" spans="1:11" ht="14.25">
      <c r="A186" s="116"/>
      <c r="K186" s="116"/>
    </row>
    <row r="187" spans="1:11" ht="14.25">
      <c r="A187" s="116"/>
      <c r="K187" s="116"/>
    </row>
    <row r="188" spans="1:16" ht="13.5">
      <c r="A188" s="142" t="s">
        <v>32</v>
      </c>
      <c r="B188" s="5" t="s">
        <v>57</v>
      </c>
      <c r="C188" s="5"/>
      <c r="D188" s="5"/>
      <c r="E188" s="5"/>
      <c r="F188" s="5"/>
      <c r="G188" s="5"/>
      <c r="H188" s="5"/>
      <c r="I188" s="5"/>
      <c r="J188" s="5"/>
      <c r="K188" s="257"/>
      <c r="L188" s="254"/>
      <c r="M188" s="254"/>
      <c r="N188" s="254"/>
      <c r="O188" s="254"/>
      <c r="P188" s="254"/>
    </row>
    <row r="189" spans="1:11" ht="13.5">
      <c r="A189" s="116"/>
      <c r="K189" s="116"/>
    </row>
    <row r="190" spans="1:11" ht="15.75">
      <c r="A190" s="116"/>
      <c r="D190" s="120" t="s">
        <v>129</v>
      </c>
      <c r="E190" s="111">
        <f>I162^2/(H162*G162)</f>
        <v>0.49255609777180415</v>
      </c>
      <c r="K190" s="116"/>
    </row>
    <row r="191" spans="1:11" ht="13.5">
      <c r="A191" s="116"/>
      <c r="K191" s="116"/>
    </row>
    <row r="192" spans="1:11" ht="18" customHeight="1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</row>
    <row r="193" ht="13.5">
      <c r="A193" s="170"/>
    </row>
    <row r="194" ht="13.5">
      <c r="A194" s="170"/>
    </row>
    <row r="195" ht="13.5">
      <c r="A195" s="170"/>
    </row>
    <row r="196" ht="13.5">
      <c r="A196" s="170"/>
    </row>
    <row r="197" ht="13.5">
      <c r="A197" s="170"/>
    </row>
    <row r="198" ht="13.5">
      <c r="A198" s="170"/>
    </row>
    <row r="199" ht="13.5">
      <c r="A199" s="170"/>
    </row>
    <row r="200" ht="13.5">
      <c r="A200" s="170"/>
    </row>
    <row r="201" ht="13.5">
      <c r="A201" s="170"/>
    </row>
    <row r="202" ht="13.5">
      <c r="A202" s="170"/>
    </row>
    <row r="203" ht="13.5">
      <c r="A203" s="170"/>
    </row>
    <row r="204" ht="13.5">
      <c r="A204" s="170"/>
    </row>
    <row r="205" ht="13.5">
      <c r="A205" s="170"/>
    </row>
    <row r="206" ht="13.5">
      <c r="A206" s="170"/>
    </row>
    <row r="207" ht="13.5">
      <c r="A207" s="170"/>
    </row>
    <row r="208" ht="13.5">
      <c r="A208" s="170"/>
    </row>
    <row r="209" ht="13.5">
      <c r="A209" s="170"/>
    </row>
    <row r="210" ht="13.5">
      <c r="A210" s="170"/>
    </row>
    <row r="211" ht="13.5">
      <c r="A211" s="170"/>
    </row>
    <row r="212" ht="13.5">
      <c r="A212" s="170"/>
    </row>
    <row r="213" ht="13.5">
      <c r="A213" s="170"/>
    </row>
    <row r="214" ht="13.5">
      <c r="A214" s="170"/>
    </row>
    <row r="215" ht="13.5">
      <c r="A215" s="170"/>
    </row>
    <row r="216" ht="13.5">
      <c r="A216" s="170"/>
    </row>
    <row r="217" ht="13.5">
      <c r="A217" s="170"/>
    </row>
    <row r="218" ht="13.5">
      <c r="A218" s="170"/>
    </row>
    <row r="219" ht="13.5">
      <c r="A219" s="170"/>
    </row>
    <row r="220" ht="13.5">
      <c r="A220" s="170"/>
    </row>
    <row r="221" ht="13.5">
      <c r="A221" s="170"/>
    </row>
    <row r="222" ht="13.5">
      <c r="A222" s="170"/>
    </row>
    <row r="223" ht="13.5">
      <c r="A223" s="170"/>
    </row>
    <row r="224" ht="13.5">
      <c r="A224" s="170"/>
    </row>
    <row r="225" ht="13.5">
      <c r="A225" s="170"/>
    </row>
    <row r="226" ht="13.5">
      <c r="A226" s="170"/>
    </row>
    <row r="227" ht="13.5">
      <c r="A227" s="170"/>
    </row>
    <row r="228" ht="13.5">
      <c r="A228" s="170"/>
    </row>
    <row r="229" ht="13.5">
      <c r="A229" s="170"/>
    </row>
    <row r="230" ht="13.5">
      <c r="A230" s="170"/>
    </row>
    <row r="231" ht="13.5">
      <c r="A231" s="170"/>
    </row>
    <row r="232" ht="13.5">
      <c r="A232" s="170"/>
    </row>
    <row r="233" ht="13.5">
      <c r="A233" s="170"/>
    </row>
    <row r="234" ht="13.5">
      <c r="A234" s="170"/>
    </row>
    <row r="235" ht="13.5">
      <c r="A235" s="170"/>
    </row>
    <row r="236" ht="13.5">
      <c r="A236" s="170"/>
    </row>
    <row r="237" ht="13.5">
      <c r="A237" s="170"/>
    </row>
  </sheetData>
  <mergeCells count="6">
    <mergeCell ref="F166:G166"/>
    <mergeCell ref="A53:I53"/>
    <mergeCell ref="A1:K1"/>
    <mergeCell ref="C96:D96"/>
    <mergeCell ref="B50:I50"/>
    <mergeCell ref="B49:I49"/>
  </mergeCells>
  <printOptions horizontalCentered="1"/>
  <pageMargins left="0.3937007874015748" right="0.35433070866141736" top="0.6692913385826772" bottom="0.7086614173228347" header="0.5118110236220472" footer="0.5118110236220472"/>
  <pageSetup fitToHeight="3" horizontalDpi="300" verticalDpi="300" orientation="portrait" paperSize="9" scale="61" r:id="rId4"/>
  <rowBreaks count="2" manualBreakCount="2">
    <brk id="52" max="10" man="1"/>
    <brk id="115" max="10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8"/>
  <sheetViews>
    <sheetView zoomScale="88" zoomScaleNormal="88" workbookViewId="0" topLeftCell="A1">
      <selection activeCell="I161" sqref="I161"/>
    </sheetView>
  </sheetViews>
  <sheetFormatPr defaultColWidth="9.140625" defaultRowHeight="12.75"/>
  <cols>
    <col min="1" max="1" width="4.7109375" style="113" customWidth="1"/>
    <col min="2" max="2" width="7.7109375" style="113" customWidth="1"/>
    <col min="3" max="3" width="16.7109375" style="113" customWidth="1"/>
    <col min="4" max="4" width="11.57421875" style="113" customWidth="1"/>
    <col min="5" max="5" width="13.140625" style="113" customWidth="1"/>
    <col min="6" max="7" width="12.28125" style="113" customWidth="1"/>
    <col min="8" max="8" width="20.7109375" style="113" customWidth="1"/>
    <col min="9" max="9" width="19.00390625" style="113" customWidth="1"/>
    <col min="10" max="10" width="11.57421875" style="113" customWidth="1"/>
    <col min="11" max="11" width="4.140625" style="113" customWidth="1"/>
    <col min="12" max="12" width="9.140625" style="170" customWidth="1"/>
    <col min="13" max="16384" width="9.140625" style="113" customWidth="1"/>
  </cols>
  <sheetData>
    <row r="1" spans="1:12" ht="30" customHeight="1">
      <c r="A1" s="328" t="s">
        <v>130</v>
      </c>
      <c r="B1" s="328"/>
      <c r="C1" s="328"/>
      <c r="D1" s="328"/>
      <c r="E1" s="328"/>
      <c r="F1" s="328"/>
      <c r="G1" s="328"/>
      <c r="H1" s="328"/>
      <c r="I1" s="328"/>
      <c r="J1" s="328"/>
      <c r="K1" s="124"/>
      <c r="L1" s="125"/>
    </row>
    <row r="2" spans="1:11" ht="14.25">
      <c r="A2" s="114"/>
      <c r="H2" s="115"/>
      <c r="I2" s="115"/>
      <c r="J2" s="115"/>
      <c r="K2" s="114"/>
    </row>
    <row r="3" spans="1:11" ht="14.25">
      <c r="A3" s="114"/>
      <c r="B3" s="317" t="s">
        <v>131</v>
      </c>
      <c r="C3" s="317"/>
      <c r="D3" s="317"/>
      <c r="E3" s="317"/>
      <c r="F3" s="317"/>
      <c r="G3" s="317"/>
      <c r="H3" s="317"/>
      <c r="I3" s="317"/>
      <c r="J3" s="317"/>
      <c r="K3" s="256"/>
    </row>
    <row r="4" spans="1:11" ht="14.25">
      <c r="A4" s="114"/>
      <c r="B4" s="336" t="s">
        <v>134</v>
      </c>
      <c r="C4" s="336"/>
      <c r="D4" s="336"/>
      <c r="E4" s="336"/>
      <c r="F4" s="336"/>
      <c r="G4" s="336"/>
      <c r="H4" s="336"/>
      <c r="I4" s="336"/>
      <c r="J4" s="336"/>
      <c r="K4" s="264"/>
    </row>
    <row r="5" spans="1:11" ht="21" customHeight="1" thickBot="1">
      <c r="A5" s="114"/>
      <c r="K5" s="114"/>
    </row>
    <row r="6" spans="1:11" ht="45.75" customHeight="1" thickBot="1">
      <c r="A6" s="114"/>
      <c r="C6" s="121" t="s">
        <v>0</v>
      </c>
      <c r="D6" s="121" t="s">
        <v>147</v>
      </c>
      <c r="E6" s="121" t="s">
        <v>214</v>
      </c>
      <c r="K6" s="114"/>
    </row>
    <row r="7" spans="1:11" ht="18" customHeight="1">
      <c r="A7" s="114"/>
      <c r="C7" s="132" t="s">
        <v>1</v>
      </c>
      <c r="D7" s="132">
        <v>46</v>
      </c>
      <c r="E7" s="132">
        <v>1518</v>
      </c>
      <c r="K7" s="114"/>
    </row>
    <row r="8" spans="1:11" ht="18" customHeight="1">
      <c r="A8" s="114"/>
      <c r="C8" s="133" t="s">
        <v>2</v>
      </c>
      <c r="D8" s="133">
        <v>86</v>
      </c>
      <c r="E8" s="133">
        <v>9460</v>
      </c>
      <c r="K8" s="114"/>
    </row>
    <row r="9" spans="1:11" ht="18" customHeight="1">
      <c r="A9" s="114"/>
      <c r="C9" s="133" t="s">
        <v>3</v>
      </c>
      <c r="D9" s="133">
        <v>91</v>
      </c>
      <c r="E9" s="133">
        <v>25480</v>
      </c>
      <c r="K9" s="114"/>
    </row>
    <row r="10" spans="1:11" ht="18" customHeight="1">
      <c r="A10" s="114"/>
      <c r="C10" s="133" t="s">
        <v>4</v>
      </c>
      <c r="D10" s="133">
        <v>33</v>
      </c>
      <c r="E10" s="133">
        <v>21780</v>
      </c>
      <c r="K10" s="114"/>
    </row>
    <row r="11" spans="1:11" ht="18" customHeight="1" thickBot="1">
      <c r="A11" s="114"/>
      <c r="C11" s="134" t="s">
        <v>5</v>
      </c>
      <c r="D11" s="134">
        <v>15</v>
      </c>
      <c r="E11" s="134">
        <v>16500</v>
      </c>
      <c r="K11" s="114"/>
    </row>
    <row r="12" spans="1:11" ht="22.5" customHeight="1">
      <c r="A12" s="114"/>
      <c r="K12" s="114"/>
    </row>
    <row r="13" spans="1:11" ht="14.25">
      <c r="A13" s="114"/>
      <c r="B13" s="336" t="s">
        <v>135</v>
      </c>
      <c r="C13" s="336"/>
      <c r="D13" s="336"/>
      <c r="E13" s="336"/>
      <c r="F13" s="336"/>
      <c r="G13" s="336"/>
      <c r="H13" s="336"/>
      <c r="I13" s="336"/>
      <c r="J13" s="336"/>
      <c r="K13" s="114"/>
    </row>
    <row r="14" spans="1:11" ht="14.25">
      <c r="A14" s="114"/>
      <c r="B14" s="336" t="s">
        <v>136</v>
      </c>
      <c r="C14" s="336"/>
      <c r="D14" s="336"/>
      <c r="E14" s="336"/>
      <c r="F14" s="336"/>
      <c r="G14" s="336"/>
      <c r="H14" s="336"/>
      <c r="I14" s="336"/>
      <c r="J14" s="336"/>
      <c r="K14" s="114"/>
    </row>
    <row r="15" spans="1:11" ht="14.25">
      <c r="A15" s="114"/>
      <c r="B15" s="336" t="s">
        <v>137</v>
      </c>
      <c r="C15" s="336"/>
      <c r="D15" s="336"/>
      <c r="E15" s="336"/>
      <c r="F15" s="336"/>
      <c r="G15" s="336"/>
      <c r="H15" s="336"/>
      <c r="I15" s="336"/>
      <c r="J15" s="336"/>
      <c r="K15" s="114"/>
    </row>
    <row r="16" spans="1:11" ht="14.25">
      <c r="A16" s="114"/>
      <c r="K16" s="114"/>
    </row>
    <row r="17" spans="1:11" ht="14.25">
      <c r="A17" s="114"/>
      <c r="K17" s="114"/>
    </row>
    <row r="18" spans="1:11" ht="14.25">
      <c r="A18" s="114"/>
      <c r="B18" s="4" t="s">
        <v>132</v>
      </c>
      <c r="C18" s="4"/>
      <c r="D18" s="4"/>
      <c r="E18" s="4"/>
      <c r="F18" s="4"/>
      <c r="G18" s="4"/>
      <c r="H18" s="4"/>
      <c r="I18" s="4"/>
      <c r="J18" s="4"/>
      <c r="K18" s="256"/>
    </row>
    <row r="19" spans="1:11" ht="14.25">
      <c r="A19" s="114"/>
      <c r="B19" s="336" t="s">
        <v>138</v>
      </c>
      <c r="C19" s="336"/>
      <c r="D19" s="336"/>
      <c r="E19" s="336"/>
      <c r="F19" s="336"/>
      <c r="G19" s="336"/>
      <c r="H19" s="336"/>
      <c r="K19" s="114"/>
    </row>
    <row r="20" spans="1:11" ht="25.5" customHeight="1" thickBot="1">
      <c r="A20" s="114"/>
      <c r="K20" s="114"/>
    </row>
    <row r="21" spans="1:12" s="48" customFormat="1" ht="30.75" customHeight="1" thickBot="1">
      <c r="A21" s="126"/>
      <c r="D21" s="7" t="s">
        <v>9</v>
      </c>
      <c r="E21" s="7" t="s">
        <v>10</v>
      </c>
      <c r="F21" s="7" t="s">
        <v>11</v>
      </c>
      <c r="G21" s="7" t="s">
        <v>12</v>
      </c>
      <c r="H21" s="7" t="s">
        <v>8</v>
      </c>
      <c r="K21" s="126"/>
      <c r="L21" s="259"/>
    </row>
    <row r="22" spans="1:12" s="48" customFormat="1" ht="18" customHeight="1">
      <c r="A22" s="126"/>
      <c r="C22" s="135" t="s">
        <v>6</v>
      </c>
      <c r="D22" s="38">
        <v>13</v>
      </c>
      <c r="E22" s="39">
        <v>20</v>
      </c>
      <c r="F22" s="38">
        <v>25</v>
      </c>
      <c r="G22" s="40">
        <v>28</v>
      </c>
      <c r="H22" s="136">
        <f>SUM(D22:G22)</f>
        <v>86</v>
      </c>
      <c r="K22" s="126"/>
      <c r="L22" s="259"/>
    </row>
    <row r="23" spans="1:12" s="48" customFormat="1" ht="18" customHeight="1" thickBot="1">
      <c r="A23" s="126"/>
      <c r="C23" s="137" t="s">
        <v>7</v>
      </c>
      <c r="D23" s="90">
        <v>68</v>
      </c>
      <c r="E23" s="91">
        <v>51</v>
      </c>
      <c r="F23" s="90">
        <v>39</v>
      </c>
      <c r="G23" s="138">
        <v>31</v>
      </c>
      <c r="H23" s="139">
        <f>SUM(D23:G23)</f>
        <v>189</v>
      </c>
      <c r="K23" s="126"/>
      <c r="L23" s="259"/>
    </row>
    <row r="24" spans="1:12" s="48" customFormat="1" ht="18" customHeight="1" thickBot="1">
      <c r="A24" s="126"/>
      <c r="C24" s="7" t="s">
        <v>8</v>
      </c>
      <c r="D24" s="7">
        <f>SUM(D22:D23)</f>
        <v>81</v>
      </c>
      <c r="E24" s="7">
        <f>SUM(E22:E23)</f>
        <v>71</v>
      </c>
      <c r="F24" s="7">
        <f>SUM(F22:F23)</f>
        <v>64</v>
      </c>
      <c r="G24" s="7">
        <f>SUM(G22:G23)</f>
        <v>59</v>
      </c>
      <c r="H24" s="7">
        <f>SUM(D24:G24)</f>
        <v>275</v>
      </c>
      <c r="K24" s="126"/>
      <c r="L24" s="259"/>
    </row>
    <row r="25" spans="1:11" ht="24.75" customHeight="1">
      <c r="A25" s="114"/>
      <c r="K25" s="114"/>
    </row>
    <row r="26" spans="1:11" ht="14.25">
      <c r="A26" s="114"/>
      <c r="B26" s="5" t="s">
        <v>139</v>
      </c>
      <c r="C26" s="5"/>
      <c r="D26" s="5"/>
      <c r="E26" s="5"/>
      <c r="F26" s="5"/>
      <c r="G26" s="5"/>
      <c r="H26" s="5"/>
      <c r="I26" s="5"/>
      <c r="J26" s="5"/>
      <c r="K26" s="102"/>
    </row>
    <row r="27" spans="1:11" ht="14.25">
      <c r="A27" s="114"/>
      <c r="B27" s="5" t="s">
        <v>143</v>
      </c>
      <c r="C27" s="5"/>
      <c r="D27" s="5"/>
      <c r="E27" s="5"/>
      <c r="F27" s="5"/>
      <c r="G27" s="5"/>
      <c r="H27" s="5"/>
      <c r="I27" s="5"/>
      <c r="J27" s="5"/>
      <c r="K27" s="102"/>
    </row>
    <row r="28" spans="1:11" ht="14.25">
      <c r="A28" s="114"/>
      <c r="B28" s="5" t="s">
        <v>144</v>
      </c>
      <c r="C28" s="5"/>
      <c r="D28" s="5"/>
      <c r="E28" s="5"/>
      <c r="F28" s="5"/>
      <c r="G28" s="5"/>
      <c r="H28" s="5"/>
      <c r="I28" s="5"/>
      <c r="J28" s="5"/>
      <c r="K28" s="102"/>
    </row>
    <row r="29" spans="1:11" ht="14.25">
      <c r="A29" s="114"/>
      <c r="K29" s="114"/>
    </row>
    <row r="30" spans="1:11" ht="14.25">
      <c r="A30" s="114"/>
      <c r="K30" s="114"/>
    </row>
    <row r="31" spans="1:11" ht="14.25">
      <c r="A31" s="114"/>
      <c r="B31" s="4" t="s">
        <v>133</v>
      </c>
      <c r="C31" s="4"/>
      <c r="D31" s="4"/>
      <c r="E31" s="4"/>
      <c r="F31" s="4"/>
      <c r="G31" s="4"/>
      <c r="H31" s="4"/>
      <c r="I31" s="4"/>
      <c r="J31" s="4"/>
      <c r="K31" s="256"/>
    </row>
    <row r="32" spans="1:11" ht="25.5" customHeight="1" thickBot="1">
      <c r="A32" s="102" t="s">
        <v>30</v>
      </c>
      <c r="B32" s="5"/>
      <c r="C32" s="5"/>
      <c r="D32" s="5"/>
      <c r="E32" s="5"/>
      <c r="F32" s="5"/>
      <c r="K32" s="114"/>
    </row>
    <row r="33" spans="1:12" s="128" customFormat="1" ht="18" customHeight="1" thickBot="1">
      <c r="A33" s="127"/>
      <c r="C33" s="129" t="s">
        <v>13</v>
      </c>
      <c r="D33" s="68">
        <v>1999</v>
      </c>
      <c r="E33" s="68">
        <v>2000</v>
      </c>
      <c r="F33" s="68">
        <v>2001</v>
      </c>
      <c r="G33" s="68">
        <v>2002</v>
      </c>
      <c r="H33" s="68">
        <v>2003</v>
      </c>
      <c r="I33" s="68">
        <v>2004</v>
      </c>
      <c r="J33" s="68">
        <v>2005</v>
      </c>
      <c r="K33" s="127"/>
      <c r="L33" s="196"/>
    </row>
    <row r="34" spans="1:12" s="48" customFormat="1" ht="29.25" customHeight="1" thickBot="1">
      <c r="A34" s="126"/>
      <c r="C34" s="7" t="s">
        <v>14</v>
      </c>
      <c r="D34" s="140">
        <v>31845</v>
      </c>
      <c r="E34" s="140">
        <v>35107</v>
      </c>
      <c r="F34" s="140">
        <v>35767</v>
      </c>
      <c r="G34" s="140">
        <v>36355</v>
      </c>
      <c r="H34" s="140">
        <v>35006</v>
      </c>
      <c r="I34" s="140">
        <v>36716</v>
      </c>
      <c r="J34" s="140">
        <v>38126</v>
      </c>
      <c r="K34" s="126"/>
      <c r="L34" s="259"/>
    </row>
    <row r="35" spans="1:11" ht="25.5" customHeight="1">
      <c r="A35" s="114"/>
      <c r="K35" s="114"/>
    </row>
    <row r="36" spans="1:11" ht="14.25">
      <c r="A36" s="114"/>
      <c r="B36" s="336" t="s">
        <v>140</v>
      </c>
      <c r="C36" s="336"/>
      <c r="D36" s="336"/>
      <c r="E36" s="336"/>
      <c r="F36" s="336"/>
      <c r="G36" s="336"/>
      <c r="H36" s="336"/>
      <c r="I36" s="336"/>
      <c r="K36" s="114"/>
    </row>
    <row r="37" spans="1:11" ht="14.25">
      <c r="A37" s="114"/>
      <c r="B37" s="5" t="s">
        <v>142</v>
      </c>
      <c r="C37" s="5"/>
      <c r="D37" s="5"/>
      <c r="E37" s="5"/>
      <c r="F37" s="5"/>
      <c r="G37" s="5"/>
      <c r="H37" s="5"/>
      <c r="I37" s="5"/>
      <c r="K37" s="114"/>
    </row>
    <row r="38" spans="1:12" ht="14.25">
      <c r="A38" s="102" t="s">
        <v>31</v>
      </c>
      <c r="B38" s="5" t="s">
        <v>141</v>
      </c>
      <c r="C38" s="5"/>
      <c r="D38" s="5"/>
      <c r="E38" s="5"/>
      <c r="F38" s="5"/>
      <c r="G38" s="5"/>
      <c r="H38" s="5"/>
      <c r="I38" s="5"/>
      <c r="J38" s="5"/>
      <c r="K38" s="102"/>
      <c r="L38" s="254"/>
    </row>
    <row r="39" spans="1:11" ht="14.25">
      <c r="A39" s="114"/>
      <c r="B39" s="336" t="s">
        <v>145</v>
      </c>
      <c r="C39" s="336"/>
      <c r="D39" s="336"/>
      <c r="E39" s="336"/>
      <c r="F39" s="336"/>
      <c r="G39" s="336"/>
      <c r="H39" s="336"/>
      <c r="I39" s="336"/>
      <c r="K39" s="114"/>
    </row>
    <row r="40" spans="1:11" ht="14.25">
      <c r="A40" s="114"/>
      <c r="B40" s="336" t="s">
        <v>146</v>
      </c>
      <c r="C40" s="336"/>
      <c r="D40" s="336"/>
      <c r="E40" s="336"/>
      <c r="F40" s="336"/>
      <c r="G40" s="336"/>
      <c r="H40" s="336"/>
      <c r="I40" s="336"/>
      <c r="K40" s="114"/>
    </row>
    <row r="41" spans="1:11" ht="14.25">
      <c r="A41" s="114"/>
      <c r="B41" s="101"/>
      <c r="C41" s="101"/>
      <c r="D41" s="101"/>
      <c r="E41" s="101"/>
      <c r="F41" s="101"/>
      <c r="G41" s="101"/>
      <c r="H41" s="101"/>
      <c r="I41" s="101"/>
      <c r="K41" s="114"/>
    </row>
    <row r="42" spans="1:11" ht="18" customHeight="1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</row>
    <row r="43" spans="1:12" ht="21.75" customHeight="1">
      <c r="A43" s="316" t="s">
        <v>199</v>
      </c>
      <c r="B43" s="316"/>
      <c r="C43" s="316"/>
      <c r="D43" s="316"/>
      <c r="E43" s="316"/>
      <c r="F43" s="316"/>
      <c r="G43" s="316"/>
      <c r="H43" s="316"/>
      <c r="I43" s="316"/>
      <c r="J43" s="316"/>
      <c r="K43" s="130"/>
      <c r="L43" s="260"/>
    </row>
    <row r="44" spans="1:11" ht="14.25">
      <c r="A44" s="116"/>
      <c r="K44" s="116"/>
    </row>
    <row r="45" spans="1:11" ht="15">
      <c r="A45" s="49" t="s">
        <v>99</v>
      </c>
      <c r="K45" s="116"/>
    </row>
    <row r="46" spans="1:11" ht="7.5" customHeight="1">
      <c r="A46" s="141"/>
      <c r="K46" s="116"/>
    </row>
    <row r="47" spans="1:12" ht="14.25">
      <c r="A47" s="142" t="s">
        <v>15</v>
      </c>
      <c r="B47" s="5" t="s">
        <v>16</v>
      </c>
      <c r="C47" s="5"/>
      <c r="D47" s="5"/>
      <c r="E47" s="5"/>
      <c r="F47" s="5"/>
      <c r="G47" s="5"/>
      <c r="H47" s="5"/>
      <c r="I47" s="5"/>
      <c r="J47" s="5"/>
      <c r="K47" s="257"/>
      <c r="L47" s="254"/>
    </row>
    <row r="48" spans="1:11" ht="18" customHeight="1" thickBot="1">
      <c r="A48" s="116"/>
      <c r="I48" s="262"/>
      <c r="K48" s="116"/>
    </row>
    <row r="49" spans="1:12" s="123" customFormat="1" ht="70.5" customHeight="1" thickBot="1">
      <c r="A49" s="122"/>
      <c r="C49" s="19" t="s">
        <v>0</v>
      </c>
      <c r="D49" s="19" t="s">
        <v>148</v>
      </c>
      <c r="E49" s="19" t="s">
        <v>215</v>
      </c>
      <c r="F49" s="19" t="s">
        <v>216</v>
      </c>
      <c r="G49" s="34" t="s">
        <v>150</v>
      </c>
      <c r="H49" s="34" t="s">
        <v>218</v>
      </c>
      <c r="I49" s="313"/>
      <c r="K49" s="122"/>
      <c r="L49" s="261"/>
    </row>
    <row r="50" spans="1:11" ht="18" customHeight="1">
      <c r="A50" s="116"/>
      <c r="C50" s="151" t="s">
        <v>1</v>
      </c>
      <c r="D50" s="68">
        <v>46</v>
      </c>
      <c r="E50" s="152">
        <v>1518</v>
      </c>
      <c r="F50" s="152">
        <f>+E50/D50</f>
        <v>33</v>
      </c>
      <c r="G50" s="152">
        <f>+D50/$D$55</f>
        <v>0.16974169741697417</v>
      </c>
      <c r="H50" s="152">
        <f>+((F50-$E$57)^2)*G50</f>
        <v>10005.429623930368</v>
      </c>
      <c r="I50" s="314"/>
      <c r="K50" s="116"/>
    </row>
    <row r="51" spans="1:11" ht="18" customHeight="1">
      <c r="A51" s="116"/>
      <c r="C51" s="153" t="s">
        <v>2</v>
      </c>
      <c r="D51" s="72">
        <v>86</v>
      </c>
      <c r="E51" s="154">
        <v>9460</v>
      </c>
      <c r="F51" s="154">
        <f>+E51/D51</f>
        <v>110</v>
      </c>
      <c r="G51" s="154">
        <f>+D51/$D$55</f>
        <v>0.3173431734317343</v>
      </c>
      <c r="H51" s="154">
        <f>+((F51-$E$57)^2)*G51</f>
        <v>8722.174092706191</v>
      </c>
      <c r="I51" s="314"/>
      <c r="K51" s="116"/>
    </row>
    <row r="52" spans="1:11" ht="18" customHeight="1">
      <c r="A52" s="116"/>
      <c r="C52" s="153" t="s">
        <v>3</v>
      </c>
      <c r="D52" s="72">
        <v>91</v>
      </c>
      <c r="E52" s="154">
        <v>25480</v>
      </c>
      <c r="F52" s="154">
        <f>+E52/D52</f>
        <v>280</v>
      </c>
      <c r="G52" s="154">
        <f>+D52/$D$55</f>
        <v>0.33579335793357934</v>
      </c>
      <c r="H52" s="154">
        <f>+((F52-$E$57)^2)*G52</f>
        <v>5.963012606801223</v>
      </c>
      <c r="I52" s="314"/>
      <c r="K52" s="116"/>
    </row>
    <row r="53" spans="1:11" ht="18" customHeight="1">
      <c r="A53" s="116"/>
      <c r="C53" s="153" t="s">
        <v>4</v>
      </c>
      <c r="D53" s="72">
        <v>33</v>
      </c>
      <c r="E53" s="154">
        <v>21780</v>
      </c>
      <c r="F53" s="154">
        <f>+E53/D53</f>
        <v>660</v>
      </c>
      <c r="G53" s="154">
        <f>+D53/$D$55</f>
        <v>0.12177121771217712</v>
      </c>
      <c r="H53" s="154">
        <f>+((F53-$E$57)^2)*G53</f>
        <v>17975.917670488914</v>
      </c>
      <c r="I53" s="314"/>
      <c r="K53" s="116"/>
    </row>
    <row r="54" spans="1:11" ht="18" customHeight="1" thickBot="1">
      <c r="A54" s="116"/>
      <c r="C54" s="155" t="s">
        <v>5</v>
      </c>
      <c r="D54" s="76">
        <v>15</v>
      </c>
      <c r="E54" s="156">
        <v>16500</v>
      </c>
      <c r="F54" s="156">
        <f>+E54/D54</f>
        <v>1100</v>
      </c>
      <c r="G54" s="156">
        <f>+D54/$D$55</f>
        <v>0.055350553505535055</v>
      </c>
      <c r="H54" s="156">
        <f>+((F54-$E$57)^2)*G54</f>
        <v>37601.2225623189</v>
      </c>
      <c r="I54" s="314"/>
      <c r="K54" s="116"/>
    </row>
    <row r="55" spans="1:11" ht="18" customHeight="1" thickBot="1">
      <c r="A55" s="116"/>
      <c r="C55" s="147" t="s">
        <v>8</v>
      </c>
      <c r="D55" s="29">
        <f>SUM(D50:D54)</f>
        <v>271</v>
      </c>
      <c r="E55" s="148">
        <f>SUM(E50:E54)</f>
        <v>74738</v>
      </c>
      <c r="F55" s="150"/>
      <c r="G55" s="149">
        <f>SUM(G50:G54)</f>
        <v>1</v>
      </c>
      <c r="H55" s="149">
        <f>SUM(H50:H54)</f>
        <v>74310.70696205118</v>
      </c>
      <c r="I55" s="315"/>
      <c r="K55" s="116"/>
    </row>
    <row r="56" spans="1:11" ht="21" customHeight="1">
      <c r="A56" s="116"/>
      <c r="I56" s="262"/>
      <c r="K56" s="116"/>
    </row>
    <row r="57" spans="1:11" ht="14.25">
      <c r="A57" s="116"/>
      <c r="C57" s="335" t="s">
        <v>217</v>
      </c>
      <c r="D57" s="335"/>
      <c r="E57" s="103">
        <f>E55/D55</f>
        <v>275.7859778597786</v>
      </c>
      <c r="K57" s="116"/>
    </row>
    <row r="58" spans="1:11" ht="14.25">
      <c r="A58" s="116"/>
      <c r="C58" s="334" t="s">
        <v>149</v>
      </c>
      <c r="D58" s="334"/>
      <c r="E58" s="103">
        <f>+SQRT(H55)</f>
        <v>272.59990271834505</v>
      </c>
      <c r="G58" s="146"/>
      <c r="K58" s="116"/>
    </row>
    <row r="59" spans="1:11" ht="24.75" customHeight="1">
      <c r="A59" s="116"/>
      <c r="K59" s="116"/>
    </row>
    <row r="60" spans="1:12" ht="14.25">
      <c r="A60" s="142" t="s">
        <v>17</v>
      </c>
      <c r="B60" s="5" t="s">
        <v>18</v>
      </c>
      <c r="C60" s="5"/>
      <c r="D60" s="5"/>
      <c r="E60" s="5"/>
      <c r="F60" s="5"/>
      <c r="G60" s="5"/>
      <c r="H60" s="5"/>
      <c r="I60" s="5"/>
      <c r="J60" s="5"/>
      <c r="K60" s="257"/>
      <c r="L60" s="254"/>
    </row>
    <row r="61" spans="1:11" ht="25.5" customHeight="1" thickBot="1">
      <c r="A61" s="116"/>
      <c r="K61" s="116"/>
    </row>
    <row r="62" spans="1:12" s="123" customFormat="1" ht="50.25" customHeight="1" thickBot="1">
      <c r="A62" s="122"/>
      <c r="C62" s="19" t="s">
        <v>231</v>
      </c>
      <c r="D62" s="19" t="s">
        <v>148</v>
      </c>
      <c r="E62" s="19" t="s">
        <v>119</v>
      </c>
      <c r="F62" s="34" t="s">
        <v>150</v>
      </c>
      <c r="G62" s="34" t="s">
        <v>97</v>
      </c>
      <c r="H62" s="19" t="s">
        <v>151</v>
      </c>
      <c r="I62" s="34" t="s">
        <v>219</v>
      </c>
      <c r="K62" s="122"/>
      <c r="L62" s="261"/>
    </row>
    <row r="63" spans="1:12" s="158" customFormat="1" ht="18" customHeight="1">
      <c r="A63" s="157"/>
      <c r="C63" s="151" t="s">
        <v>1</v>
      </c>
      <c r="D63" s="68">
        <v>46</v>
      </c>
      <c r="E63" s="152">
        <v>1518</v>
      </c>
      <c r="F63" s="305">
        <f>D50/$D$55</f>
        <v>0.16974169741697417</v>
      </c>
      <c r="G63" s="305">
        <f>F63</f>
        <v>0.16974169741697417</v>
      </c>
      <c r="H63" s="160">
        <f>50-0</f>
        <v>50</v>
      </c>
      <c r="I63" s="305">
        <f>D63/H63</f>
        <v>0.92</v>
      </c>
      <c r="K63" s="157"/>
      <c r="L63" s="202"/>
    </row>
    <row r="64" spans="1:12" s="158" customFormat="1" ht="18" customHeight="1">
      <c r="A64" s="157"/>
      <c r="C64" s="153" t="s">
        <v>2</v>
      </c>
      <c r="D64" s="72">
        <v>86</v>
      </c>
      <c r="E64" s="154">
        <v>9460</v>
      </c>
      <c r="F64" s="306">
        <f>D51/$D$55</f>
        <v>0.3173431734317343</v>
      </c>
      <c r="G64" s="306">
        <f>G63+F64</f>
        <v>0.48708487084870844</v>
      </c>
      <c r="H64" s="161">
        <f>200-50</f>
        <v>150</v>
      </c>
      <c r="I64" s="306">
        <f>D64/H64</f>
        <v>0.5733333333333334</v>
      </c>
      <c r="K64" s="157"/>
      <c r="L64" s="202"/>
    </row>
    <row r="65" spans="1:12" s="158" customFormat="1" ht="18" customHeight="1">
      <c r="A65" s="157"/>
      <c r="C65" s="153" t="s">
        <v>3</v>
      </c>
      <c r="D65" s="72">
        <v>91</v>
      </c>
      <c r="E65" s="154">
        <v>25480</v>
      </c>
      <c r="F65" s="306">
        <f>D52/$D$55</f>
        <v>0.33579335793357934</v>
      </c>
      <c r="G65" s="306">
        <f>G64+F65</f>
        <v>0.8228782287822878</v>
      </c>
      <c r="H65" s="161">
        <f>500-200</f>
        <v>300</v>
      </c>
      <c r="I65" s="306">
        <f>D65/H65</f>
        <v>0.30333333333333334</v>
      </c>
      <c r="K65" s="157"/>
      <c r="L65" s="202"/>
    </row>
    <row r="66" spans="1:12" s="158" customFormat="1" ht="18" customHeight="1">
      <c r="A66" s="157"/>
      <c r="C66" s="153" t="s">
        <v>4</v>
      </c>
      <c r="D66" s="72">
        <v>33</v>
      </c>
      <c r="E66" s="154">
        <v>21780</v>
      </c>
      <c r="F66" s="306">
        <f>D53/$D$55</f>
        <v>0.12177121771217712</v>
      </c>
      <c r="G66" s="306">
        <f>G65+F66</f>
        <v>0.9446494464944649</v>
      </c>
      <c r="H66" s="161">
        <f>1000-500</f>
        <v>500</v>
      </c>
      <c r="I66" s="306">
        <f>D66/H66</f>
        <v>0.066</v>
      </c>
      <c r="K66" s="157"/>
      <c r="L66" s="202"/>
    </row>
    <row r="67" spans="1:12" s="158" customFormat="1" ht="18" customHeight="1" thickBot="1">
      <c r="A67" s="157"/>
      <c r="C67" s="155" t="s">
        <v>5</v>
      </c>
      <c r="D67" s="76">
        <v>15</v>
      </c>
      <c r="E67" s="156">
        <v>16500</v>
      </c>
      <c r="F67" s="307">
        <f>D54/$D$55</f>
        <v>0.055350553505535055</v>
      </c>
      <c r="G67" s="307">
        <f>G66+F67</f>
        <v>1</v>
      </c>
      <c r="H67" s="162">
        <f>2000-1000</f>
        <v>1000</v>
      </c>
      <c r="I67" s="307">
        <f>D67/H67</f>
        <v>0.015</v>
      </c>
      <c r="K67" s="157"/>
      <c r="L67" s="202"/>
    </row>
    <row r="68" spans="1:12" s="158" customFormat="1" ht="18" customHeight="1" thickBot="1">
      <c r="A68" s="157"/>
      <c r="C68" s="147" t="s">
        <v>8</v>
      </c>
      <c r="D68" s="29">
        <f>SUM(D63:D67)</f>
        <v>271</v>
      </c>
      <c r="E68" s="148">
        <f>SUM(E63:E67)</f>
        <v>74738</v>
      </c>
      <c r="F68" s="308">
        <f>SUM(F63:F67)</f>
        <v>1</v>
      </c>
      <c r="G68" s="159"/>
      <c r="K68" s="157"/>
      <c r="L68" s="202"/>
    </row>
    <row r="69" spans="1:11" ht="14.25">
      <c r="A69" s="116"/>
      <c r="K69" s="116"/>
    </row>
    <row r="70" spans="1:11" ht="6.75" customHeight="1" thickBot="1">
      <c r="A70" s="116"/>
      <c r="K70" s="116"/>
    </row>
    <row r="71" spans="1:11" ht="18" thickBot="1">
      <c r="A71" s="116"/>
      <c r="C71" s="340" t="s">
        <v>191</v>
      </c>
      <c r="D71" s="341"/>
      <c r="E71" s="341"/>
      <c r="F71" s="341"/>
      <c r="G71" s="117">
        <f>200+271*((0.5-G64)/(D65))*(500-200)</f>
        <v>211.53846153846158</v>
      </c>
      <c r="K71" s="116"/>
    </row>
    <row r="72" spans="1:11" ht="14.25">
      <c r="A72" s="116"/>
      <c r="K72" s="116"/>
    </row>
    <row r="73" spans="1:12" ht="14.25">
      <c r="A73" s="142" t="s">
        <v>19</v>
      </c>
      <c r="B73" s="5" t="s">
        <v>20</v>
      </c>
      <c r="C73" s="5"/>
      <c r="D73" s="5"/>
      <c r="E73" s="5"/>
      <c r="F73" s="5"/>
      <c r="G73" s="5"/>
      <c r="H73" s="5"/>
      <c r="I73" s="5"/>
      <c r="J73" s="5"/>
      <c r="K73" s="257"/>
      <c r="L73" s="254"/>
    </row>
    <row r="74" spans="1:11" ht="14.25">
      <c r="A74" s="116"/>
      <c r="K74" s="116"/>
    </row>
    <row r="75" spans="1:11" ht="14.25">
      <c r="A75" s="116"/>
      <c r="K75" s="116"/>
    </row>
    <row r="76" spans="1:11" ht="14.25">
      <c r="A76" s="116"/>
      <c r="K76" s="116"/>
    </row>
    <row r="77" spans="1:11" ht="14.25">
      <c r="A77" s="116"/>
      <c r="K77" s="116"/>
    </row>
    <row r="78" spans="1:11" ht="14.25">
      <c r="A78" s="116"/>
      <c r="K78" s="116"/>
    </row>
    <row r="79" spans="1:11" ht="14.25">
      <c r="A79" s="116"/>
      <c r="K79" s="116"/>
    </row>
    <row r="80" spans="1:11" ht="14.25">
      <c r="A80" s="116"/>
      <c r="K80" s="116"/>
    </row>
    <row r="81" spans="1:11" ht="14.25">
      <c r="A81" s="116"/>
      <c r="K81" s="116"/>
    </row>
    <row r="82" spans="1:11" ht="14.25">
      <c r="A82" s="116"/>
      <c r="K82" s="116"/>
    </row>
    <row r="83" spans="1:11" ht="14.25">
      <c r="A83" s="116"/>
      <c r="K83" s="116"/>
    </row>
    <row r="84" spans="1:11" ht="14.25">
      <c r="A84" s="116"/>
      <c r="K84" s="116"/>
    </row>
    <row r="85" spans="1:11" ht="14.25">
      <c r="A85" s="116"/>
      <c r="K85" s="116"/>
    </row>
    <row r="86" spans="1:11" ht="14.25">
      <c r="A86" s="116"/>
      <c r="K86" s="116"/>
    </row>
    <row r="87" spans="1:11" ht="14.25">
      <c r="A87" s="116"/>
      <c r="K87" s="116"/>
    </row>
    <row r="88" spans="1:11" ht="14.25">
      <c r="A88" s="116"/>
      <c r="K88" s="116"/>
    </row>
    <row r="89" spans="1:11" ht="14.25">
      <c r="A89" s="116"/>
      <c r="K89" s="116"/>
    </row>
    <row r="90" spans="1:11" ht="14.25">
      <c r="A90" s="116"/>
      <c r="K90" s="116"/>
    </row>
    <row r="91" spans="1:11" ht="8.25" customHeight="1">
      <c r="A91" s="116"/>
      <c r="K91" s="116"/>
    </row>
    <row r="92" spans="1:15" ht="14.25">
      <c r="A92" s="143"/>
      <c r="B92" s="115"/>
      <c r="C92" s="115"/>
      <c r="D92" s="115"/>
      <c r="E92" s="115"/>
      <c r="F92" s="115"/>
      <c r="G92" s="115"/>
      <c r="H92" s="115"/>
      <c r="I92" s="115"/>
      <c r="J92" s="115"/>
      <c r="K92" s="143"/>
      <c r="L92" s="262"/>
      <c r="M92" s="115"/>
      <c r="N92" s="115"/>
      <c r="O92" s="115"/>
    </row>
    <row r="93" spans="1:15" ht="15">
      <c r="A93" s="145" t="s">
        <v>100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43"/>
      <c r="L93" s="262"/>
      <c r="M93" s="115"/>
      <c r="N93" s="115"/>
      <c r="O93" s="115"/>
    </row>
    <row r="94" spans="1:15" ht="7.5" customHeight="1">
      <c r="A94" s="145"/>
      <c r="B94" s="115"/>
      <c r="C94" s="115"/>
      <c r="D94" s="115"/>
      <c r="E94" s="115"/>
      <c r="F94" s="115"/>
      <c r="G94" s="115"/>
      <c r="H94" s="115"/>
      <c r="I94" s="115"/>
      <c r="J94" s="115"/>
      <c r="K94" s="143"/>
      <c r="L94" s="262"/>
      <c r="M94" s="115"/>
      <c r="N94" s="115"/>
      <c r="O94" s="115"/>
    </row>
    <row r="95" spans="1:12" ht="14.25">
      <c r="A95" s="142" t="s">
        <v>15</v>
      </c>
      <c r="B95" s="5" t="s">
        <v>21</v>
      </c>
      <c r="C95" s="5"/>
      <c r="D95" s="5"/>
      <c r="E95" s="5"/>
      <c r="F95" s="5"/>
      <c r="G95" s="5"/>
      <c r="H95" s="5"/>
      <c r="I95" s="5"/>
      <c r="J95" s="5"/>
      <c r="K95" s="257"/>
      <c r="L95" s="254"/>
    </row>
    <row r="96" spans="1:11" ht="18.75" customHeight="1" thickBot="1">
      <c r="A96" s="116"/>
      <c r="K96" s="116"/>
    </row>
    <row r="97" spans="1:11" ht="18" customHeight="1" thickBot="1">
      <c r="A97" s="116"/>
      <c r="C97" s="104" t="s">
        <v>22</v>
      </c>
      <c r="D97" s="29" t="s">
        <v>9</v>
      </c>
      <c r="E97" s="29" t="s">
        <v>10</v>
      </c>
      <c r="F97" s="29" t="s">
        <v>11</v>
      </c>
      <c r="G97" s="29" t="s">
        <v>12</v>
      </c>
      <c r="H97" s="29" t="s">
        <v>8</v>
      </c>
      <c r="K97" s="116"/>
    </row>
    <row r="98" spans="1:11" ht="18" customHeight="1">
      <c r="A98" s="116"/>
      <c r="C98" s="309" t="s">
        <v>6</v>
      </c>
      <c r="D98" s="68">
        <v>13</v>
      </c>
      <c r="E98" s="80">
        <v>20</v>
      </c>
      <c r="F98" s="68">
        <v>25</v>
      </c>
      <c r="G98" s="69">
        <v>28</v>
      </c>
      <c r="H98" s="219">
        <f>SUM(D98:G98)</f>
        <v>86</v>
      </c>
      <c r="K98" s="116"/>
    </row>
    <row r="99" spans="1:11" ht="18" customHeight="1" thickBot="1">
      <c r="A99" s="116"/>
      <c r="C99" s="106" t="s">
        <v>7</v>
      </c>
      <c r="D99" s="76">
        <v>68</v>
      </c>
      <c r="E99" s="81">
        <v>51</v>
      </c>
      <c r="F99" s="76">
        <v>39</v>
      </c>
      <c r="G99" s="77">
        <v>31</v>
      </c>
      <c r="H99" s="220">
        <f>SUM(D99:G99)</f>
        <v>189</v>
      </c>
      <c r="K99" s="116"/>
    </row>
    <row r="100" spans="1:11" ht="18" customHeight="1" thickBot="1">
      <c r="A100" s="116"/>
      <c r="C100" s="16" t="s">
        <v>8</v>
      </c>
      <c r="D100" s="29">
        <f>SUM(D98:D99)</f>
        <v>81</v>
      </c>
      <c r="E100" s="29">
        <f>SUM(E98:E99)</f>
        <v>71</v>
      </c>
      <c r="F100" s="29">
        <f>SUM(F98:F99)</f>
        <v>64</v>
      </c>
      <c r="G100" s="29">
        <f>SUM(G98:G99)</f>
        <v>59</v>
      </c>
      <c r="H100" s="29">
        <f>SUM(D100:G100)</f>
        <v>275</v>
      </c>
      <c r="K100" s="116"/>
    </row>
    <row r="101" spans="1:11" ht="18" customHeight="1">
      <c r="A101" s="116"/>
      <c r="K101" s="116"/>
    </row>
    <row r="102" spans="1:12" s="218" customFormat="1" ht="21" customHeight="1">
      <c r="A102" s="217"/>
      <c r="B102" s="218" t="s">
        <v>189</v>
      </c>
      <c r="K102" s="217"/>
      <c r="L102" s="263"/>
    </row>
    <row r="103" spans="1:12" s="218" customFormat="1" ht="8.25" customHeight="1" thickBot="1">
      <c r="A103" s="217"/>
      <c r="K103" s="217"/>
      <c r="L103" s="263"/>
    </row>
    <row r="104" spans="1:11" ht="18" customHeight="1" thickBot="1">
      <c r="A104" s="116"/>
      <c r="C104" s="118"/>
      <c r="D104" s="29" t="s">
        <v>9</v>
      </c>
      <c r="E104" s="29" t="s">
        <v>10</v>
      </c>
      <c r="F104" s="29" t="s">
        <v>11</v>
      </c>
      <c r="G104" s="29" t="s">
        <v>12</v>
      </c>
      <c r="H104" s="29" t="s">
        <v>8</v>
      </c>
      <c r="K104" s="116"/>
    </row>
    <row r="105" spans="1:11" ht="18" customHeight="1">
      <c r="A105" s="116"/>
      <c r="C105" s="309" t="s">
        <v>6</v>
      </c>
      <c r="D105" s="70">
        <f>(D98/$H$98)*100</f>
        <v>15.11627906976744</v>
      </c>
      <c r="E105" s="70">
        <f>(E98/$H$98)*100</f>
        <v>23.25581395348837</v>
      </c>
      <c r="F105" s="70">
        <f>(F98/$H$98)*100</f>
        <v>29.069767441860467</v>
      </c>
      <c r="G105" s="70">
        <f>(G98/$H$98)*100</f>
        <v>32.55813953488372</v>
      </c>
      <c r="H105" s="219">
        <f>SUM(D105:G105)</f>
        <v>100</v>
      </c>
      <c r="K105" s="116"/>
    </row>
    <row r="106" spans="1:11" ht="18" customHeight="1" thickBot="1">
      <c r="A106" s="116"/>
      <c r="C106" s="106" t="s">
        <v>7</v>
      </c>
      <c r="D106" s="78">
        <f>(D99/$H$99)*100</f>
        <v>35.978835978835974</v>
      </c>
      <c r="E106" s="78">
        <f>(E99/$H$99)*100</f>
        <v>26.984126984126984</v>
      </c>
      <c r="F106" s="78">
        <f>(F99/$H$99)*100</f>
        <v>20.634920634920633</v>
      </c>
      <c r="G106" s="78">
        <f>(G99/$H$99)*100</f>
        <v>16.402116402116402</v>
      </c>
      <c r="H106" s="310">
        <f>SUM(D106:G106)</f>
        <v>100</v>
      </c>
      <c r="K106" s="116"/>
    </row>
    <row r="107" spans="1:11" ht="19.5" customHeight="1">
      <c r="A107" s="116"/>
      <c r="C107" s="107"/>
      <c r="D107" s="108"/>
      <c r="E107" s="108"/>
      <c r="F107" s="108"/>
      <c r="G107" s="108"/>
      <c r="H107" s="108"/>
      <c r="K107" s="116"/>
    </row>
    <row r="108" spans="1:12" ht="14.25">
      <c r="A108" s="142" t="s">
        <v>17</v>
      </c>
      <c r="B108" s="5" t="s">
        <v>23</v>
      </c>
      <c r="C108" s="5"/>
      <c r="D108" s="5"/>
      <c r="E108" s="5"/>
      <c r="F108" s="5"/>
      <c r="G108" s="5"/>
      <c r="H108" s="5"/>
      <c r="I108" s="5"/>
      <c r="J108" s="5"/>
      <c r="K108" s="257"/>
      <c r="L108" s="254"/>
    </row>
    <row r="109" spans="1:12" ht="14.25">
      <c r="A109" s="116"/>
      <c r="B109" s="5" t="s">
        <v>24</v>
      </c>
      <c r="C109" s="5"/>
      <c r="D109" s="5"/>
      <c r="E109" s="5"/>
      <c r="F109" s="5"/>
      <c r="G109" s="5"/>
      <c r="H109" s="5"/>
      <c r="I109" s="5"/>
      <c r="J109" s="5"/>
      <c r="K109" s="257"/>
      <c r="L109" s="254"/>
    </row>
    <row r="110" spans="1:16" ht="14.25">
      <c r="A110" s="143"/>
      <c r="B110" s="115"/>
      <c r="C110" s="115"/>
      <c r="D110" s="115"/>
      <c r="E110" s="115"/>
      <c r="F110" s="115"/>
      <c r="G110" s="115"/>
      <c r="H110" s="115"/>
      <c r="I110" s="115"/>
      <c r="J110" s="115"/>
      <c r="K110" s="143"/>
      <c r="L110" s="262"/>
      <c r="M110" s="115"/>
      <c r="N110" s="115"/>
      <c r="O110" s="115"/>
      <c r="P110" s="115"/>
    </row>
    <row r="111" spans="1:16" ht="15">
      <c r="A111" s="145" t="s">
        <v>101</v>
      </c>
      <c r="B111" s="115"/>
      <c r="C111" s="115"/>
      <c r="D111" s="115"/>
      <c r="E111" s="115"/>
      <c r="F111" s="115"/>
      <c r="G111" s="115"/>
      <c r="H111" s="115"/>
      <c r="I111" s="115"/>
      <c r="J111" s="115"/>
      <c r="K111" s="143"/>
      <c r="L111" s="262"/>
      <c r="M111" s="115"/>
      <c r="N111" s="115"/>
      <c r="O111" s="115"/>
      <c r="P111" s="115"/>
    </row>
    <row r="112" spans="1:11" ht="6.75" customHeight="1">
      <c r="A112" s="49"/>
      <c r="K112" s="116"/>
    </row>
    <row r="113" spans="1:12" ht="14.25">
      <c r="A113" s="142" t="s">
        <v>15</v>
      </c>
      <c r="B113" s="5" t="s">
        <v>25</v>
      </c>
      <c r="C113" s="5"/>
      <c r="D113" s="5"/>
      <c r="E113" s="5"/>
      <c r="F113" s="5"/>
      <c r="G113" s="5"/>
      <c r="H113" s="5"/>
      <c r="I113" s="5"/>
      <c r="J113" s="5"/>
      <c r="K113" s="257"/>
      <c r="L113" s="254"/>
    </row>
    <row r="114" spans="1:11" ht="24.75" customHeight="1" thickBot="1">
      <c r="A114" s="116"/>
      <c r="K114" s="116"/>
    </row>
    <row r="115" spans="1:11" ht="18" customHeight="1" thickBot="1">
      <c r="A115" s="116"/>
      <c r="C115" s="105" t="s">
        <v>13</v>
      </c>
      <c r="D115" s="82">
        <v>1999</v>
      </c>
      <c r="E115" s="82">
        <v>2000</v>
      </c>
      <c r="F115" s="82">
        <v>2001</v>
      </c>
      <c r="G115" s="82">
        <v>2002</v>
      </c>
      <c r="H115" s="82">
        <v>2003</v>
      </c>
      <c r="I115" s="82">
        <v>2004</v>
      </c>
      <c r="J115" s="82">
        <v>2005</v>
      </c>
      <c r="K115" s="116"/>
    </row>
    <row r="116" spans="1:11" ht="36.75" customHeight="1" thickBot="1">
      <c r="A116" s="116"/>
      <c r="C116" s="51" t="s">
        <v>14</v>
      </c>
      <c r="D116" s="311">
        <v>31845</v>
      </c>
      <c r="E116" s="311">
        <v>35107</v>
      </c>
      <c r="F116" s="311">
        <v>35767</v>
      </c>
      <c r="G116" s="311">
        <v>36355</v>
      </c>
      <c r="H116" s="311">
        <v>35006</v>
      </c>
      <c r="I116" s="311">
        <v>36716</v>
      </c>
      <c r="J116" s="311">
        <v>38126</v>
      </c>
      <c r="K116" s="116"/>
    </row>
    <row r="117" spans="1:11" ht="49.5" customHeight="1" thickBot="1">
      <c r="A117" s="116"/>
      <c r="C117" s="51" t="s">
        <v>190</v>
      </c>
      <c r="D117" s="312">
        <f aca="true" t="shared" si="0" ref="D117:J117">(D116/$E$116)*100</f>
        <v>90.70840573105079</v>
      </c>
      <c r="E117" s="312">
        <f t="shared" si="0"/>
        <v>100</v>
      </c>
      <c r="F117" s="312">
        <f t="shared" si="0"/>
        <v>101.87996695815649</v>
      </c>
      <c r="G117" s="312">
        <f t="shared" si="0"/>
        <v>103.55484661178681</v>
      </c>
      <c r="H117" s="312">
        <f t="shared" si="0"/>
        <v>99.71230808670636</v>
      </c>
      <c r="I117" s="312">
        <f t="shared" si="0"/>
        <v>104.58313156920272</v>
      </c>
      <c r="J117" s="312">
        <f t="shared" si="0"/>
        <v>108.59942461617342</v>
      </c>
      <c r="K117" s="116"/>
    </row>
    <row r="118" spans="1:11" ht="24" customHeight="1">
      <c r="A118" s="116"/>
      <c r="K118" s="116"/>
    </row>
    <row r="119" spans="1:12" ht="14.25">
      <c r="A119" s="142" t="s">
        <v>17</v>
      </c>
      <c r="B119" s="5" t="s">
        <v>26</v>
      </c>
      <c r="C119" s="5"/>
      <c r="D119" s="5"/>
      <c r="E119" s="5"/>
      <c r="F119" s="5"/>
      <c r="G119" s="5"/>
      <c r="H119" s="5"/>
      <c r="I119" s="5"/>
      <c r="J119" s="5"/>
      <c r="K119" s="257"/>
      <c r="L119" s="254"/>
    </row>
    <row r="120" spans="1:12" ht="14.25">
      <c r="A120" s="116"/>
      <c r="B120" s="5" t="s">
        <v>27</v>
      </c>
      <c r="C120" s="5"/>
      <c r="D120" s="5"/>
      <c r="E120" s="5"/>
      <c r="F120" s="5"/>
      <c r="G120" s="5"/>
      <c r="H120" s="5"/>
      <c r="I120" s="5"/>
      <c r="J120" s="5"/>
      <c r="K120" s="257"/>
      <c r="L120" s="254"/>
    </row>
    <row r="121" spans="1:11" ht="23.25" customHeight="1" thickBot="1">
      <c r="A121" s="116"/>
      <c r="K121" s="116"/>
    </row>
    <row r="122" spans="1:11" ht="18" customHeight="1" thickBot="1">
      <c r="A122" s="116"/>
      <c r="C122" s="109" t="s">
        <v>13</v>
      </c>
      <c r="D122" s="110" t="s">
        <v>120</v>
      </c>
      <c r="E122" s="110" t="s">
        <v>124</v>
      </c>
      <c r="F122" s="110" t="s">
        <v>121</v>
      </c>
      <c r="G122" s="110" t="s">
        <v>122</v>
      </c>
      <c r="H122" s="110" t="s">
        <v>123</v>
      </c>
      <c r="K122" s="116"/>
    </row>
    <row r="123" spans="1:11" ht="18" customHeight="1">
      <c r="A123" s="116"/>
      <c r="C123" s="82">
        <v>1999</v>
      </c>
      <c r="D123" s="82">
        <v>1</v>
      </c>
      <c r="E123" s="221">
        <v>90.70840573105079</v>
      </c>
      <c r="F123" s="82">
        <f aca="true" t="shared" si="1" ref="F123:F129">(D123-$D$132)^2</f>
        <v>9</v>
      </c>
      <c r="G123" s="222">
        <f aca="true" t="shared" si="2" ref="G123:G129">(E123-$D$133)^2</f>
        <v>111.99457777493876</v>
      </c>
      <c r="H123" s="221">
        <f aca="true" t="shared" si="3" ref="H123:H129">((D123-$D$132)*(E123-$D$133))</f>
        <v>31.748247195309048</v>
      </c>
      <c r="K123" s="116"/>
    </row>
    <row r="124" spans="1:11" ht="18" customHeight="1">
      <c r="A124" s="116"/>
      <c r="C124" s="84">
        <v>2000</v>
      </c>
      <c r="D124" s="84">
        <v>2</v>
      </c>
      <c r="E124" s="223">
        <v>100</v>
      </c>
      <c r="F124" s="84">
        <f t="shared" si="1"/>
        <v>4</v>
      </c>
      <c r="G124" s="224">
        <f t="shared" si="2"/>
        <v>1.6670807076309733</v>
      </c>
      <c r="H124" s="223">
        <f t="shared" si="3"/>
        <v>2.5823095923076096</v>
      </c>
      <c r="K124" s="116"/>
    </row>
    <row r="125" spans="1:11" ht="18" customHeight="1">
      <c r="A125" s="116"/>
      <c r="C125" s="84">
        <v>2001</v>
      </c>
      <c r="D125" s="84">
        <v>3</v>
      </c>
      <c r="E125" s="223">
        <v>101.87996695815649</v>
      </c>
      <c r="F125" s="84">
        <f t="shared" si="1"/>
        <v>1</v>
      </c>
      <c r="G125" s="224">
        <f t="shared" si="2"/>
        <v>0.34669976212227294</v>
      </c>
      <c r="H125" s="223">
        <f t="shared" si="3"/>
        <v>-0.5888121620026823</v>
      </c>
      <c r="K125" s="116"/>
    </row>
    <row r="126" spans="1:11" ht="18" customHeight="1">
      <c r="A126" s="116"/>
      <c r="C126" s="84">
        <v>2002</v>
      </c>
      <c r="D126" s="84">
        <v>4</v>
      </c>
      <c r="E126" s="223">
        <v>103.55484661178681</v>
      </c>
      <c r="F126" s="84">
        <f t="shared" si="1"/>
        <v>0</v>
      </c>
      <c r="G126" s="224">
        <f t="shared" si="2"/>
        <v>5.124300636163872</v>
      </c>
      <c r="H126" s="223">
        <f t="shared" si="3"/>
        <v>0</v>
      </c>
      <c r="K126" s="116"/>
    </row>
    <row r="127" spans="1:11" ht="18" customHeight="1">
      <c r="A127" s="116"/>
      <c r="C127" s="84">
        <v>2003</v>
      </c>
      <c r="D127" s="84">
        <v>5</v>
      </c>
      <c r="E127" s="223">
        <v>99.71230808670636</v>
      </c>
      <c r="F127" s="84">
        <f t="shared" si="1"/>
        <v>1</v>
      </c>
      <c r="G127" s="224">
        <f t="shared" si="2"/>
        <v>2.492756931933031</v>
      </c>
      <c r="H127" s="223">
        <f t="shared" si="3"/>
        <v>-1.578846709447447</v>
      </c>
      <c r="K127" s="116"/>
    </row>
    <row r="128" spans="1:11" ht="18" customHeight="1">
      <c r="A128" s="116"/>
      <c r="C128" s="84">
        <v>2004</v>
      </c>
      <c r="D128" s="84">
        <v>6</v>
      </c>
      <c r="E128" s="223">
        <v>104.58313156920272</v>
      </c>
      <c r="F128" s="84">
        <f t="shared" si="1"/>
        <v>4</v>
      </c>
      <c r="G128" s="224">
        <f t="shared" si="2"/>
        <v>10.837111074293551</v>
      </c>
      <c r="H128" s="223">
        <f t="shared" si="3"/>
        <v>6.583953546097831</v>
      </c>
      <c r="K128" s="116"/>
    </row>
    <row r="129" spans="1:11" ht="18" customHeight="1" thickBot="1">
      <c r="A129" s="116"/>
      <c r="C129" s="86">
        <v>2005</v>
      </c>
      <c r="D129" s="86">
        <v>7</v>
      </c>
      <c r="E129" s="225">
        <v>108.59942461617342</v>
      </c>
      <c r="F129" s="86">
        <f t="shared" si="1"/>
        <v>9</v>
      </c>
      <c r="G129" s="226">
        <f t="shared" si="2"/>
        <v>53.41080776220957</v>
      </c>
      <c r="H129" s="225">
        <f t="shared" si="3"/>
        <v>21.924809460058853</v>
      </c>
      <c r="K129" s="116"/>
    </row>
    <row r="130" spans="1:11" ht="18" customHeight="1" thickBot="1">
      <c r="A130" s="116"/>
      <c r="C130" s="15" t="s">
        <v>28</v>
      </c>
      <c r="D130" s="15">
        <f>SUM(D123:D129)</f>
        <v>28</v>
      </c>
      <c r="E130" s="119">
        <f>SUM(E123:E129)</f>
        <v>709.0380835730766</v>
      </c>
      <c r="F130" s="15">
        <f>SUM(F123:F129)</f>
        <v>28</v>
      </c>
      <c r="G130" s="119">
        <f>SUM(G123:G129)</f>
        <v>185.87333464929202</v>
      </c>
      <c r="H130" s="119">
        <f>SUM(H123:H129)</f>
        <v>60.67166092232321</v>
      </c>
      <c r="K130" s="116"/>
    </row>
    <row r="131" spans="1:11" ht="14.25">
      <c r="A131" s="116"/>
      <c r="K131" s="116"/>
    </row>
    <row r="132" spans="1:11" ht="17.25">
      <c r="A132" s="116"/>
      <c r="C132" s="120" t="s">
        <v>222</v>
      </c>
      <c r="D132" s="100">
        <f>D130/7</f>
        <v>4</v>
      </c>
      <c r="E132" s="120" t="s">
        <v>125</v>
      </c>
      <c r="F132" s="100">
        <f>F130</f>
        <v>28</v>
      </c>
      <c r="K132" s="116"/>
    </row>
    <row r="133" spans="1:11" ht="17.25">
      <c r="A133" s="116"/>
      <c r="C133" s="120" t="s">
        <v>223</v>
      </c>
      <c r="D133" s="111">
        <f>E130/7</f>
        <v>101.2911547961538</v>
      </c>
      <c r="E133" s="120" t="s">
        <v>126</v>
      </c>
      <c r="F133" s="111">
        <f>G130</f>
        <v>185.87333464929202</v>
      </c>
      <c r="K133" s="116"/>
    </row>
    <row r="134" spans="1:11" ht="17.25">
      <c r="A134" s="116"/>
      <c r="C134" s="120" t="s">
        <v>224</v>
      </c>
      <c r="D134" s="111">
        <f>H130/F130</f>
        <v>2.1668450329401145</v>
      </c>
      <c r="E134" s="120" t="s">
        <v>127</v>
      </c>
      <c r="F134" s="111">
        <f>H130</f>
        <v>60.67166092232321</v>
      </c>
      <c r="K134" s="116"/>
    </row>
    <row r="135" spans="1:11" ht="17.25">
      <c r="A135" s="116"/>
      <c r="C135" s="120" t="s">
        <v>128</v>
      </c>
      <c r="D135" s="111">
        <f>D133-(D134*D132)</f>
        <v>92.62377466439335</v>
      </c>
      <c r="K135" s="116"/>
    </row>
    <row r="136" spans="1:11" ht="15" thickBot="1">
      <c r="A136" s="116"/>
      <c r="K136" s="116"/>
    </row>
    <row r="137" spans="1:11" ht="15" thickBot="1">
      <c r="A137" s="116"/>
      <c r="C137" s="338" t="s">
        <v>54</v>
      </c>
      <c r="D137" s="339"/>
      <c r="E137" s="342" t="s">
        <v>225</v>
      </c>
      <c r="F137" s="343"/>
      <c r="K137" s="116"/>
    </row>
    <row r="138" spans="1:11" ht="14.25">
      <c r="A138" s="116"/>
      <c r="K138" s="116"/>
    </row>
    <row r="139" spans="1:11" ht="13.5">
      <c r="A139" s="116"/>
      <c r="K139" s="116"/>
    </row>
    <row r="140" spans="1:12" ht="13.5">
      <c r="A140" s="142" t="s">
        <v>19</v>
      </c>
      <c r="B140" s="5" t="s">
        <v>29</v>
      </c>
      <c r="C140" s="5"/>
      <c r="D140" s="5"/>
      <c r="E140" s="5"/>
      <c r="F140" s="5"/>
      <c r="G140" s="5"/>
      <c r="H140" s="5"/>
      <c r="I140" s="5"/>
      <c r="J140" s="5"/>
      <c r="K140" s="257"/>
      <c r="L140" s="254"/>
    </row>
    <row r="141" spans="1:11" ht="13.5">
      <c r="A141" s="116"/>
      <c r="J141" s="131"/>
      <c r="K141" s="116"/>
    </row>
    <row r="142" spans="1:11" ht="15.75">
      <c r="A142" s="116"/>
      <c r="C142" s="337" t="s">
        <v>129</v>
      </c>
      <c r="D142" s="337"/>
      <c r="E142" s="337"/>
      <c r="F142" s="111">
        <f>((F134^2)/(F132*F133))</f>
        <v>0.7072885809996075</v>
      </c>
      <c r="K142" s="116"/>
    </row>
    <row r="143" spans="1:11" ht="24" customHeight="1">
      <c r="A143" s="116"/>
      <c r="K143" s="116"/>
    </row>
    <row r="144" spans="1:12" ht="13.5">
      <c r="A144" s="142" t="s">
        <v>32</v>
      </c>
      <c r="B144" s="5" t="s">
        <v>33</v>
      </c>
      <c r="C144" s="5"/>
      <c r="D144" s="5"/>
      <c r="E144" s="5"/>
      <c r="F144" s="5"/>
      <c r="G144" s="5"/>
      <c r="H144" s="5"/>
      <c r="I144" s="5"/>
      <c r="J144" s="5"/>
      <c r="K144" s="257"/>
      <c r="L144" s="254"/>
    </row>
    <row r="145" spans="1:11" ht="13.5">
      <c r="A145" s="116"/>
      <c r="K145" s="116"/>
    </row>
    <row r="146" spans="1:11" ht="15">
      <c r="A146" s="116"/>
      <c r="C146" s="337" t="s">
        <v>226</v>
      </c>
      <c r="D146" s="337"/>
      <c r="E146" s="337"/>
      <c r="F146" s="112">
        <f>D135+(D134*7)</f>
        <v>107.79168989497416</v>
      </c>
      <c r="K146" s="116"/>
    </row>
    <row r="147" spans="1:11" ht="14.25">
      <c r="A147" s="116"/>
      <c r="K147" s="116"/>
    </row>
    <row r="148" spans="1:11" ht="14.25">
      <c r="A148" s="116"/>
      <c r="K148" s="116"/>
    </row>
    <row r="149" spans="1:11" ht="14.25">
      <c r="A149" s="116"/>
      <c r="K149" s="116"/>
    </row>
    <row r="150" spans="1:11" ht="14.25">
      <c r="A150" s="116"/>
      <c r="K150" s="116"/>
    </row>
    <row r="151" spans="1:11" ht="14.25">
      <c r="A151" s="116"/>
      <c r="K151" s="116"/>
    </row>
    <row r="152" spans="1:11" ht="14.25">
      <c r="A152" s="116"/>
      <c r="K152" s="116"/>
    </row>
    <row r="153" spans="1:11" ht="14.25">
      <c r="A153" s="116"/>
      <c r="K153" s="116"/>
    </row>
    <row r="154" spans="1:11" ht="14.25">
      <c r="A154" s="116"/>
      <c r="K154" s="116"/>
    </row>
    <row r="155" spans="1:11" ht="14.25">
      <c r="A155" s="116"/>
      <c r="K155" s="116"/>
    </row>
    <row r="156" spans="1:11" ht="14.25">
      <c r="A156" s="116"/>
      <c r="K156" s="116"/>
    </row>
    <row r="157" spans="1:11" ht="14.25">
      <c r="A157" s="116"/>
      <c r="K157" s="116"/>
    </row>
    <row r="158" spans="1:11" ht="14.25">
      <c r="A158" s="116"/>
      <c r="K158" s="116"/>
    </row>
    <row r="159" spans="1:11" ht="14.25">
      <c r="A159" s="116"/>
      <c r="K159" s="116"/>
    </row>
    <row r="160" spans="1:11" ht="14.25">
      <c r="A160" s="116"/>
      <c r="K160" s="116"/>
    </row>
    <row r="161" spans="1:11" ht="14.25">
      <c r="A161" s="116"/>
      <c r="K161" s="116"/>
    </row>
    <row r="162" spans="1:11" ht="14.25">
      <c r="A162" s="116"/>
      <c r="K162" s="116"/>
    </row>
    <row r="163" spans="1:11" ht="14.25">
      <c r="A163" s="116"/>
      <c r="K163" s="116"/>
    </row>
    <row r="164" spans="1:11" ht="14.25">
      <c r="A164" s="116"/>
      <c r="K164" s="116"/>
    </row>
    <row r="165" spans="1:11" ht="14.25">
      <c r="A165" s="116"/>
      <c r="K165" s="116"/>
    </row>
    <row r="166" spans="1:11" ht="14.25">
      <c r="A166" s="116"/>
      <c r="K166" s="116"/>
    </row>
    <row r="167" spans="1:11" ht="14.25">
      <c r="A167" s="116"/>
      <c r="K167" s="116"/>
    </row>
    <row r="168" spans="1:11" ht="18" customHeight="1">
      <c r="A168" s="116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</row>
  </sheetData>
  <mergeCells count="18">
    <mergeCell ref="B15:J15"/>
    <mergeCell ref="B19:H19"/>
    <mergeCell ref="C71:F71"/>
    <mergeCell ref="E137:F137"/>
    <mergeCell ref="B3:J3"/>
    <mergeCell ref="B4:J4"/>
    <mergeCell ref="B13:J13"/>
    <mergeCell ref="B14:J14"/>
    <mergeCell ref="C142:E142"/>
    <mergeCell ref="C146:E146"/>
    <mergeCell ref="C137:D137"/>
    <mergeCell ref="A1:J1"/>
    <mergeCell ref="A43:J43"/>
    <mergeCell ref="C57:D57"/>
    <mergeCell ref="C58:D58"/>
    <mergeCell ref="B39:I39"/>
    <mergeCell ref="B40:I40"/>
    <mergeCell ref="B36:I36"/>
  </mergeCells>
  <printOptions horizontalCentered="1"/>
  <pageMargins left="0.3937007874015748" right="0.3937007874015748" top="0.5905511811023623" bottom="0.4724409448818898" header="0.5118110236220472" footer="0.5118110236220472"/>
  <pageSetup fitToHeight="3" horizontalDpi="300" verticalDpi="300" orientation="portrait" paperSize="9" scale="61" r:id="rId4"/>
  <rowBreaks count="2" manualBreakCount="2">
    <brk id="42" max="10" man="1"/>
    <brk id="110" max="1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2009-03-26T10:39:00Z</cp:lastPrinted>
  <dcterms:created xsi:type="dcterms:W3CDTF">1996-11-05T10:16:36Z</dcterms:created>
  <dcterms:modified xsi:type="dcterms:W3CDTF">2009-03-30T08:25:11Z</dcterms:modified>
  <cp:category/>
  <cp:version/>
  <cp:contentType/>
  <cp:contentStatus/>
</cp:coreProperties>
</file>