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  <Override PartName="/xl/embeddings/oleObject_3_18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4_12.bin" ContentType="application/vnd.openxmlformats-officedocument.oleObject"/>
  <Override PartName="/xl/embeddings/oleObject_4_13.bin" ContentType="application/vnd.openxmlformats-officedocument.oleObject"/>
  <Override PartName="/xl/embeddings/oleObject_4_14.bin" ContentType="application/vnd.openxmlformats-officedocument.oleObject"/>
  <Override PartName="/xl/embeddings/oleObject_4_15.bin" ContentType="application/vnd.openxmlformats-officedocument.oleObject"/>
  <Override PartName="/xl/embeddings/oleObject_4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9420" windowHeight="4500" tabRatio="637" activeTab="1"/>
  </bookViews>
  <sheets>
    <sheet name="mod II 16 Giugno 08 (A)" sheetId="1" r:id="rId1"/>
    <sheet name="mod II 30 Giugno 08 (A)" sheetId="2" r:id="rId2"/>
    <sheet name="mod II 16 Luglio 08" sheetId="3" r:id="rId3"/>
    <sheet name="mod II 7 gennaio 09" sheetId="4" r:id="rId4"/>
    <sheet name="mod II 7 aprile 09" sheetId="5" r:id="rId5"/>
  </sheets>
  <definedNames>
    <definedName name="_xlnm.Print_Area" localSheetId="0">'mod II 16 Giugno 08 (A)'!$A$1:$N$164</definedName>
    <definedName name="_xlnm.Print_Area" localSheetId="2">'mod II 16 Luglio 08'!$A$1:$N$175</definedName>
    <definedName name="_xlnm.Print_Area" localSheetId="1">'mod II 30 Giugno 08 (A)'!$A$1:$N$170</definedName>
    <definedName name="_xlnm.Print_Area" localSheetId="4">'mod II 7 aprile 09'!$A$1:$N$140</definedName>
    <definedName name="_xlnm.Print_Area" localSheetId="3">'mod II 7 gennaio 09'!$A$1:$M$162</definedName>
  </definedNames>
  <calcPr fullCalcOnLoad="1"/>
</workbook>
</file>

<file path=xl/sharedStrings.xml><?xml version="1.0" encoding="utf-8"?>
<sst xmlns="http://schemas.openxmlformats.org/spreadsheetml/2006/main" count="704" uniqueCount="394">
  <si>
    <t>L'errore standard dà l'ordine di grandezza dell'errore che si commette stimando la media della popolazione con le media campionaria.</t>
  </si>
  <si>
    <r>
      <t xml:space="preserve">Significato: </t>
    </r>
    <r>
      <rPr>
        <sz val="11"/>
        <color indexed="8"/>
        <rFont val="Tahoma"/>
        <family val="2"/>
      </rPr>
      <t>L'errore standard è la misura media dell'errore delle stime associate ai vari campioni dello spazio campionario.</t>
    </r>
  </si>
  <si>
    <t xml:space="preserve">Si determini l'intervallo fiduciario al 95% per la percentuale media di pezzi difettosi (nella popolazione) di coloro che hanno seguito il corso di </t>
  </si>
  <si>
    <t>formazione A.</t>
  </si>
  <si>
    <t>- I limiti fiduciari sono:</t>
  </si>
  <si>
    <r>
      <t>α</t>
    </r>
    <r>
      <rPr>
        <b/>
        <sz val="11"/>
        <rFont val="Tahoma"/>
        <family val="2"/>
      </rPr>
      <t xml:space="preserve"> = </t>
    </r>
  </si>
  <si>
    <r>
      <t>z</t>
    </r>
    <r>
      <rPr>
        <b/>
        <vertAlign val="subscript"/>
        <sz val="11"/>
        <rFont val="Tahoma"/>
        <family val="2"/>
      </rPr>
      <t>0,025</t>
    </r>
    <r>
      <rPr>
        <b/>
        <sz val="11"/>
        <rFont val="Tahoma"/>
        <family val="2"/>
      </rPr>
      <t xml:space="preserve"> =</t>
    </r>
  </si>
  <si>
    <r>
      <t xml:space="preserve"> - Considerando che la variabile casuale T ha distribuzione </t>
    </r>
    <r>
      <rPr>
        <i/>
        <sz val="11"/>
        <rFont val="Tahoma"/>
        <family val="2"/>
      </rPr>
      <t>t</t>
    </r>
    <r>
      <rPr>
        <sz val="11"/>
        <rFont val="Tahoma"/>
        <family val="2"/>
      </rPr>
      <t xml:space="preserve"> di Student con </t>
    </r>
    <r>
      <rPr>
        <i/>
        <sz val="11"/>
        <rFont val="Tahoma"/>
        <family val="2"/>
      </rPr>
      <t>n-1=7</t>
    </r>
    <r>
      <rPr>
        <sz val="11"/>
        <rFont val="Tahoma"/>
        <family val="2"/>
      </rPr>
      <t xml:space="preserve"> gradi di libertà, il valore soglia è t </t>
    </r>
    <r>
      <rPr>
        <vertAlign val="subscript"/>
        <sz val="11"/>
        <rFont val="Tahoma"/>
        <family val="2"/>
      </rPr>
      <t>0,01</t>
    </r>
    <r>
      <rPr>
        <sz val="11"/>
        <rFont val="Tahoma"/>
        <family val="2"/>
      </rPr>
      <t xml:space="preserve"> =  2,998 .</t>
    </r>
  </si>
  <si>
    <t xml:space="preserve">gld = </t>
  </si>
  <si>
    <r>
      <t>(consideriamo Z</t>
    </r>
    <r>
      <rPr>
        <vertAlign val="subscript"/>
        <sz val="11"/>
        <rFont val="Arial"/>
        <family val="2"/>
      </rPr>
      <t>α/2</t>
    </r>
    <r>
      <rPr>
        <sz val="11"/>
        <rFont val="Tahoma"/>
        <family val="2"/>
      </rPr>
      <t xml:space="preserve"> e non </t>
    </r>
    <r>
      <rPr>
        <i/>
        <sz val="11"/>
        <rFont val="Tahoma"/>
        <family val="2"/>
      </rPr>
      <t>t</t>
    </r>
    <r>
      <rPr>
        <vertAlign val="subscript"/>
        <sz val="11"/>
        <rFont val="Arial"/>
        <family val="2"/>
      </rPr>
      <t>α/2</t>
    </r>
    <r>
      <rPr>
        <sz val="11"/>
        <rFont val="Tahoma"/>
        <family val="2"/>
      </rPr>
      <t xml:space="preserve"> perché il campione è grande)</t>
    </r>
  </si>
  <si>
    <t xml:space="preserve">                 componente sia compresa tra 34 e 36,5 (si applichi il teorema del limite centrale).</t>
  </si>
  <si>
    <t>172     195     185     162     213     185     191     175</t>
  </si>
  <si>
    <t xml:space="preserve">     2. Si determini l'intervallo fiduciario al 95% per la percorrenza media nella popolazione.</t>
  </si>
  <si>
    <t xml:space="preserve">     3. Con riferimento al punto 1, supponendo che la varianza nella popolazione sia 260, si calcoli la probabilità che la media campionaria</t>
  </si>
  <si>
    <t xml:space="preserve">         un' interpretazione del risultato.</t>
  </si>
  <si>
    <t xml:space="preserve">     distribuzione doppia di seguito indicata:</t>
  </si>
  <si>
    <t>Pressione sanguigna</t>
  </si>
  <si>
    <t>Presenza di disturbi cardiaci</t>
  </si>
  <si>
    <t>SI</t>
  </si>
  <si>
    <t>NO</t>
  </si>
  <si>
    <t>127-150</t>
  </si>
  <si>
    <t>&lt; 127</t>
  </si>
  <si>
    <t>TOT</t>
  </si>
  <si>
    <t xml:space="preserve">    2. Sapendo che tra i 92 soggetti con disturbi cardiaci la pressione sanguigna media è pari a 181 con deviazione standard pari a 15,4.</t>
  </si>
  <si>
    <t xml:space="preserve">        Si  verifichi l'ipotesi che la pressione sanguigna media (nella popolazione) dei soggetti con disturbi cardiaci sia pari a 165, contro </t>
  </si>
  <si>
    <t>Si determini la probabilità che un componente scelto a caso abbia durata inferiore a 41,30.</t>
  </si>
  <si>
    <t>1)</t>
  </si>
  <si>
    <t>2)</t>
  </si>
  <si>
    <t>tra 34 e 36,5 (si applichi il teorema del limite centrale).</t>
  </si>
  <si>
    <t>Si determini l'intervallo fiduciario al 95% per la percorrenza media nella popolazione.</t>
  </si>
  <si>
    <t>Con riferimento al punto 1, supponendo che la varianza nella popolazione sia 260, si calcoli la probabilità che la media campionaria</t>
  </si>
  <si>
    <t>3)</t>
  </si>
  <si>
    <t>un' interpretazione del risultato.</t>
  </si>
  <si>
    <t>=</t>
  </si>
  <si>
    <t>superi la soglia critica ,                                                         nell'ipotesi alternativa che la media della popolazione sia 190. Si dia</t>
  </si>
  <si>
    <t>&gt; 150</t>
  </si>
  <si>
    <t>Prendendo in considerazione la seguente tabella:</t>
  </si>
  <si>
    <t>Sapendo che tra i 92 soggetti con disturbi cardiaci la pressione sanguigna media è pari a 181 con deviazione standard pari a 15,4.</t>
  </si>
  <si>
    <t xml:space="preserve">Si  verifichi l'ipotesi che la pressione sanguigna media (nella popolazione) dei soggetti con disturbi cardiaci sia pari a 165, contro </t>
  </si>
  <si>
    <t xml:space="preserve">         superi la soglia critica                                                            nell'ipotesi alternativa che la media della popolazione sia 190. Si dia</t>
  </si>
  <si>
    <t>n =</t>
  </si>
  <si>
    <t>Corso di formazione</t>
  </si>
  <si>
    <t>Percentuale di pezzi difettosi</t>
  </si>
  <si>
    <t>0-1</t>
  </si>
  <si>
    <t>1-3</t>
  </si>
  <si>
    <t>3-5</t>
  </si>
  <si>
    <t>A</t>
  </si>
  <si>
    <t>B</t>
  </si>
  <si>
    <t>Si determini la probabilità che il ritardo superi i 7 minuti.</t>
  </si>
  <si>
    <t>s =</t>
  </si>
  <si>
    <t>Si determini la probabilità che in un campione casuale di ampiezza 50 la durata media del componente sia compresa</t>
  </si>
  <si>
    <t>Sesso</t>
  </si>
  <si>
    <t>Reddito</t>
  </si>
  <si>
    <t>15-20</t>
  </si>
  <si>
    <t>20-30</t>
  </si>
  <si>
    <t>30-50</t>
  </si>
  <si>
    <t>M</t>
  </si>
  <si>
    <t>F</t>
  </si>
  <si>
    <t>4)</t>
  </si>
  <si>
    <t>Si stimi il reddito medio delle femmine e si fornisca la stima dell'errore standard dello stimatore.</t>
  </si>
  <si>
    <t>significatività osservato.</t>
  </si>
  <si>
    <t>Si calcoli la probabilità che in tre mesi (90 osservazioni) un ritardo superiore a 7 minuti si verifichi non più di 25 volte.</t>
  </si>
  <si>
    <t>Con riferimento al punto precedente, si determini il livello di significatività osservato.</t>
  </si>
  <si>
    <r>
      <t xml:space="preserve">A) </t>
    </r>
    <r>
      <rPr>
        <sz val="11"/>
        <rFont val="Tahoma"/>
        <family val="2"/>
      </rPr>
      <t xml:space="preserve">La durata (in mesi) di un componente di un apparecchio elettronico è assimilabile a una variabile casuale </t>
    </r>
  </si>
  <si>
    <r>
      <t xml:space="preserve">    </t>
    </r>
    <r>
      <rPr>
        <sz val="11"/>
        <rFont val="Tahoma"/>
        <family val="2"/>
      </rPr>
      <t>chi-quadrato con 36 gradi di libertà.</t>
    </r>
  </si>
  <si>
    <r>
      <t xml:space="preserve">             1) </t>
    </r>
    <r>
      <rPr>
        <sz val="11"/>
        <rFont val="Tahoma"/>
        <family val="2"/>
      </rPr>
      <t>Si determini la probabilità che un componente scelto a caso abbia durata inferiore a 41,30.</t>
    </r>
  </si>
  <si>
    <r>
      <t xml:space="preserve">             2) </t>
    </r>
    <r>
      <rPr>
        <sz val="11"/>
        <rFont val="Tahoma"/>
        <family val="2"/>
      </rPr>
      <t xml:space="preserve">Si determini la probabilità che in un campione casuale di ampiezza 50 la durata media del  </t>
    </r>
  </si>
  <si>
    <r>
      <t xml:space="preserve">B) </t>
    </r>
    <r>
      <rPr>
        <sz val="11"/>
        <rFont val="Tahoma"/>
        <family val="2"/>
      </rPr>
      <t>I chilometri percorsi in un giorno da un  campione casuale di 8 taxi in una grande città sono i seguenti:</t>
    </r>
  </si>
  <si>
    <r>
      <t xml:space="preserve">     1. Si verifichi l'ipotesi che la percorrenza media nella popolazione sia 180 contro l'alternativa che sia superiore (si ponga </t>
    </r>
    <r>
      <rPr>
        <i/>
        <sz val="11"/>
        <rFont val="Tahoma"/>
        <family val="2"/>
      </rPr>
      <t>α</t>
    </r>
    <r>
      <rPr>
        <sz val="11"/>
        <rFont val="Tahoma"/>
        <family val="2"/>
      </rPr>
      <t xml:space="preserve"> = 0,01).</t>
    </r>
  </si>
  <si>
    <r>
      <t>C)</t>
    </r>
    <r>
      <rPr>
        <sz val="11"/>
        <rFont val="Tahoma"/>
        <family val="2"/>
      </rPr>
      <t xml:space="preserve"> In un campione casuale di 1329 soggetti sono state rilevate la pressione sanguigna e la presenza di disturbi cardiaci, ottenendo la</t>
    </r>
  </si>
  <si>
    <r>
      <t xml:space="preserve">    1. Indicando con </t>
    </r>
    <r>
      <rPr>
        <i/>
        <sz val="11"/>
        <rFont val="Tahoma"/>
        <family val="2"/>
      </rPr>
      <t>p</t>
    </r>
    <r>
      <rPr>
        <sz val="11"/>
        <rFont val="Tahoma"/>
        <family val="2"/>
      </rPr>
      <t xml:space="preserve"> la frequenza relativa nella popolazione dei soggetti con pressione al di sopra di 150, si costruisca l'intervallo fiduciario</t>
    </r>
  </si>
  <si>
    <r>
      <t xml:space="preserve">        per </t>
    </r>
    <r>
      <rPr>
        <i/>
        <sz val="11"/>
        <rFont val="Tahoma"/>
        <family val="2"/>
      </rPr>
      <t>p</t>
    </r>
    <r>
      <rPr>
        <sz val="11"/>
        <rFont val="Tahoma"/>
        <family val="2"/>
      </rPr>
      <t xml:space="preserve"> al 99%.</t>
    </r>
  </si>
  <si>
    <r>
      <t xml:space="preserve">        l'alternativa che sia diversa (si ponga </t>
    </r>
    <r>
      <rPr>
        <i/>
        <sz val="11"/>
        <rFont val="Tahoma"/>
        <family val="2"/>
      </rPr>
      <t>α</t>
    </r>
    <r>
      <rPr>
        <sz val="11"/>
        <rFont val="Tahoma"/>
        <family val="2"/>
      </rPr>
      <t xml:space="preserve"> = 0,05).</t>
    </r>
  </si>
  <si>
    <r>
      <t xml:space="preserve">    3. Si verifichi l'ipotesi di indipendenza tra pressione sanguigna e disturbi cardiaci (si ponga </t>
    </r>
    <r>
      <rPr>
        <i/>
        <sz val="11"/>
        <rFont val="Tahoma"/>
        <family val="2"/>
      </rPr>
      <t>α</t>
    </r>
    <r>
      <rPr>
        <sz val="11"/>
        <rFont val="Tahoma"/>
        <family val="2"/>
      </rPr>
      <t xml:space="preserve"> = 0,05)</t>
    </r>
  </si>
  <si>
    <r>
      <t xml:space="preserve">Indicando con </t>
    </r>
    <r>
      <rPr>
        <i/>
        <sz val="11"/>
        <rFont val="Tahoma"/>
        <family val="2"/>
      </rPr>
      <t>p</t>
    </r>
    <r>
      <rPr>
        <sz val="11"/>
        <rFont val="Tahoma"/>
        <family val="2"/>
      </rPr>
      <t xml:space="preserve"> la frequenza relativa nella popolazione dei soggetti con pressione al di sopra di 150, si costruisca l'intervallo fiduciario</t>
    </r>
  </si>
  <si>
    <r>
      <t xml:space="preserve">per </t>
    </r>
    <r>
      <rPr>
        <i/>
        <sz val="11"/>
        <rFont val="Tahoma"/>
        <family val="2"/>
      </rPr>
      <t>p</t>
    </r>
    <r>
      <rPr>
        <sz val="11"/>
        <rFont val="Tahoma"/>
        <family val="2"/>
      </rPr>
      <t xml:space="preserve"> al 99%.</t>
    </r>
  </si>
  <si>
    <r>
      <t xml:space="preserve">l'alternativa che sia diversa (si ponga </t>
    </r>
    <r>
      <rPr>
        <i/>
        <sz val="11"/>
        <rFont val="Tahoma"/>
        <family val="2"/>
      </rPr>
      <t>α</t>
    </r>
    <r>
      <rPr>
        <sz val="11"/>
        <rFont val="Tahoma"/>
        <family val="2"/>
      </rPr>
      <t xml:space="preserve"> = 0,05).</t>
    </r>
  </si>
  <si>
    <r>
      <t xml:space="preserve">Si verifichi l'ipotesi di indipendenza tra pressione sanguigna e disturbi cardiaci (si ponga </t>
    </r>
    <r>
      <rPr>
        <i/>
        <sz val="11"/>
        <rFont val="Tahoma"/>
        <family val="2"/>
      </rPr>
      <t>α</t>
    </r>
    <r>
      <rPr>
        <sz val="11"/>
        <rFont val="Tahoma"/>
        <family val="2"/>
      </rPr>
      <t xml:space="preserve"> = 0,05)</t>
    </r>
  </si>
  <si>
    <r>
      <t>TOT          (n</t>
    </r>
    <r>
      <rPr>
        <b/>
        <vertAlign val="subscript"/>
        <sz val="11"/>
        <rFont val="Tahoma"/>
        <family val="2"/>
      </rPr>
      <t>i0</t>
    </r>
    <r>
      <rPr>
        <b/>
        <sz val="11"/>
        <rFont val="Tahoma"/>
        <family val="2"/>
      </rPr>
      <t xml:space="preserve">) </t>
    </r>
  </si>
  <si>
    <r>
      <t>TOT (n</t>
    </r>
    <r>
      <rPr>
        <b/>
        <vertAlign val="subscript"/>
        <sz val="11"/>
        <rFont val="Tahoma"/>
        <family val="2"/>
      </rPr>
      <t>0j</t>
    </r>
    <r>
      <rPr>
        <b/>
        <sz val="11"/>
        <rFont val="Tahoma"/>
        <family val="2"/>
      </rPr>
      <t>)</t>
    </r>
  </si>
  <si>
    <t>SVOLGIMENTO ESAME DI STATISTICA - MODULO II - 30/06/2008</t>
  </si>
  <si>
    <t>ESERCIZIO A</t>
  </si>
  <si>
    <t>ESERCIZIO B</t>
  </si>
  <si>
    <t>ESERCIZIO C</t>
  </si>
  <si>
    <t xml:space="preserve">P(X &lt; 41,3) = </t>
  </si>
  <si>
    <t xml:space="preserve">1-P(X &gt; 41,3) = </t>
  </si>
  <si>
    <t xml:space="preserve"> - Applicando il teorema del limite centrale possiamo approssimare la distribuzione della vb casuale X ad una normale con media pari a r</t>
  </si>
  <si>
    <t xml:space="preserve"> - Otteniamo di conseguenza la distribuzione della media Xm: </t>
  </si>
  <si>
    <t>P(34 &lt; Xm &lt; 36,5) = P(Xm &lt; 36,5) - P(Xm &lt; 34) =</t>
  </si>
  <si>
    <t xml:space="preserve"> - Ricordando che data la distribuzione</t>
  </si>
  <si>
    <t>la probabilità che Xm sia minore di a è data da:</t>
  </si>
  <si>
    <t xml:space="preserve">   ottenialmo il risultato:</t>
  </si>
  <si>
    <r>
      <t>X</t>
    </r>
    <r>
      <rPr>
        <b/>
        <i/>
        <vertAlign val="subscript"/>
        <sz val="11"/>
        <rFont val="Tahoma"/>
        <family val="2"/>
      </rPr>
      <t>i</t>
    </r>
  </si>
  <si>
    <r>
      <t>(X</t>
    </r>
    <r>
      <rPr>
        <b/>
        <i/>
        <vertAlign val="subscript"/>
        <sz val="11"/>
        <rFont val="Tahoma"/>
        <family val="2"/>
      </rPr>
      <t xml:space="preserve">i </t>
    </r>
    <r>
      <rPr>
        <b/>
        <i/>
        <sz val="11"/>
        <rFont val="Tahoma"/>
        <family val="2"/>
      </rPr>
      <t>- X</t>
    </r>
    <r>
      <rPr>
        <b/>
        <i/>
        <vertAlign val="subscript"/>
        <sz val="11"/>
        <rFont val="Tahoma"/>
        <family val="2"/>
      </rPr>
      <t>m</t>
    </r>
    <r>
      <rPr>
        <b/>
        <i/>
        <sz val="11"/>
        <rFont val="Tahoma"/>
        <family val="2"/>
      </rPr>
      <t>)</t>
    </r>
    <r>
      <rPr>
        <b/>
        <i/>
        <vertAlign val="superscript"/>
        <sz val="11"/>
        <rFont val="Tahoma"/>
        <family val="2"/>
      </rPr>
      <t>2</t>
    </r>
  </si>
  <si>
    <t>totali</t>
  </si>
  <si>
    <r>
      <t>X</t>
    </r>
    <r>
      <rPr>
        <b/>
        <vertAlign val="subscript"/>
        <sz val="11"/>
        <rFont val="Tahoma"/>
        <family val="2"/>
      </rPr>
      <t>m</t>
    </r>
    <r>
      <rPr>
        <b/>
        <sz val="11"/>
        <rFont val="Tahoma"/>
        <family val="2"/>
      </rPr>
      <t xml:space="preserve"> = </t>
    </r>
  </si>
  <si>
    <r>
      <t>s</t>
    </r>
    <r>
      <rPr>
        <b/>
        <vertAlign val="superscript"/>
        <sz val="11"/>
        <rFont val="Tahoma"/>
        <family val="2"/>
      </rPr>
      <t>2</t>
    </r>
    <r>
      <rPr>
        <b/>
        <sz val="11"/>
        <rFont val="Tahoma"/>
        <family val="2"/>
      </rPr>
      <t xml:space="preserve"> =  </t>
    </r>
  </si>
  <si>
    <t xml:space="preserve"> - La statistica test è la seguente:</t>
  </si>
  <si>
    <r>
      <t>H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:    </t>
    </r>
    <r>
      <rPr>
        <b/>
        <sz val="11"/>
        <rFont val="Arial"/>
        <family val="2"/>
      </rPr>
      <t>μ</t>
    </r>
    <r>
      <rPr>
        <b/>
        <sz val="9.7"/>
        <rFont val="Tahoma"/>
        <family val="2"/>
      </rPr>
      <t xml:space="preserve"> = </t>
    </r>
    <r>
      <rPr>
        <b/>
        <sz val="11"/>
        <rFont val="Tahoma"/>
        <family val="2"/>
      </rPr>
      <t>µ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 </t>
    </r>
  </si>
  <si>
    <r>
      <t>H</t>
    </r>
    <r>
      <rPr>
        <b/>
        <vertAlign val="sub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:    </t>
    </r>
    <r>
      <rPr>
        <b/>
        <sz val="11"/>
        <rFont val="Arial"/>
        <family val="2"/>
      </rPr>
      <t xml:space="preserve">μ </t>
    </r>
    <r>
      <rPr>
        <b/>
        <sz val="9.7"/>
        <rFont val="Tahoma"/>
        <family val="2"/>
      </rPr>
      <t>&gt;</t>
    </r>
    <r>
      <rPr>
        <b/>
        <sz val="11"/>
        <rFont val="Tahoma"/>
        <family val="2"/>
      </rPr>
      <t xml:space="preserve"> µ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 </t>
    </r>
  </si>
  <si>
    <r>
      <t xml:space="preserve"> </t>
    </r>
    <r>
      <rPr>
        <b/>
        <sz val="11"/>
        <rFont val="Tahoma"/>
        <family val="2"/>
      </rPr>
      <t>µ</t>
    </r>
    <r>
      <rPr>
        <b/>
        <vertAlign val="subscript"/>
        <sz val="11"/>
        <rFont val="Tahoma"/>
        <family val="2"/>
      </rPr>
      <t xml:space="preserve">0 </t>
    </r>
    <r>
      <rPr>
        <b/>
        <sz val="11"/>
        <rFont val="Tahoma"/>
        <family val="2"/>
      </rPr>
      <t xml:space="preserve">=  </t>
    </r>
  </si>
  <si>
    <t xml:space="preserve"> - La zona di rifiuto è definita come </t>
  </si>
  <si>
    <r>
      <t>α</t>
    </r>
    <r>
      <rPr>
        <b/>
        <sz val="9.7"/>
        <rFont val="Tahoma"/>
        <family val="2"/>
      </rPr>
      <t xml:space="preserve"> = </t>
    </r>
  </si>
  <si>
    <t xml:space="preserve"> - I limiti fiduciari sono:</t>
  </si>
  <si>
    <r>
      <t>L</t>
    </r>
    <r>
      <rPr>
        <b/>
        <vertAlign val="sub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= </t>
    </r>
  </si>
  <si>
    <r>
      <t>L</t>
    </r>
    <r>
      <rPr>
        <b/>
        <vertAlign val="subscript"/>
        <sz val="11"/>
        <rFont val="Tahoma"/>
        <family val="2"/>
      </rPr>
      <t>2</t>
    </r>
    <r>
      <rPr>
        <b/>
        <sz val="11"/>
        <rFont val="Tahoma"/>
        <family val="2"/>
      </rPr>
      <t xml:space="preserve"> = </t>
    </r>
  </si>
  <si>
    <t xml:space="preserve">P (Xm &gt; 193) = 1 - P (Xm &lt; 193) = 1 - P ( Z &lt; z) </t>
  </si>
  <si>
    <t xml:space="preserve">z = </t>
  </si>
  <si>
    <t>P (Z &lt; z) =</t>
  </si>
  <si>
    <t>P(Xm &gt; 193) =</t>
  </si>
  <si>
    <r>
      <t>NON RIFIUTIAMO L'IPOTESI NULLA H</t>
    </r>
    <r>
      <rPr>
        <b/>
        <vertAlign val="subscript"/>
        <sz val="11"/>
        <rFont val="Tahoma"/>
        <family val="2"/>
      </rPr>
      <t>0</t>
    </r>
  </si>
  <si>
    <t xml:space="preserve"> - La stima puntuale di p è:</t>
  </si>
  <si>
    <t xml:space="preserve"> - I limiti fiduciari sono ottenuti dalle formule :</t>
  </si>
  <si>
    <r>
      <t xml:space="preserve">z </t>
    </r>
    <r>
      <rPr>
        <b/>
        <vertAlign val="subscript"/>
        <sz val="11"/>
        <rFont val="Arial"/>
        <family val="2"/>
      </rPr>
      <t>α</t>
    </r>
    <r>
      <rPr>
        <b/>
        <vertAlign val="subscript"/>
        <sz val="11"/>
        <rFont val="Tahoma"/>
        <family val="2"/>
      </rPr>
      <t>/2</t>
    </r>
    <r>
      <rPr>
        <b/>
        <sz val="11"/>
        <rFont val="Tahoma"/>
        <family val="2"/>
      </rPr>
      <t xml:space="preserve"> = z </t>
    </r>
    <r>
      <rPr>
        <b/>
        <vertAlign val="subscript"/>
        <sz val="11"/>
        <rFont val="Tahoma"/>
        <family val="2"/>
      </rPr>
      <t>0,005</t>
    </r>
    <r>
      <rPr>
        <b/>
        <sz val="11"/>
        <rFont val="Tahoma"/>
        <family val="2"/>
      </rPr>
      <t xml:space="preserve"> =</t>
    </r>
  </si>
  <si>
    <r>
      <t>L</t>
    </r>
    <r>
      <rPr>
        <b/>
        <vertAlign val="subscript"/>
        <sz val="9.7"/>
        <rFont val="Tahoma"/>
        <family val="2"/>
      </rPr>
      <t>1</t>
    </r>
    <r>
      <rPr>
        <b/>
        <sz val="11"/>
        <rFont val="Tahoma"/>
        <family val="2"/>
      </rPr>
      <t xml:space="preserve"> =</t>
    </r>
  </si>
  <si>
    <r>
      <t>L</t>
    </r>
    <r>
      <rPr>
        <b/>
        <vertAlign val="subscript"/>
        <sz val="11"/>
        <rFont val="Tahoma"/>
        <family val="2"/>
      </rPr>
      <t>2</t>
    </r>
    <r>
      <rPr>
        <b/>
        <sz val="11"/>
        <rFont val="Tahoma"/>
        <family val="2"/>
      </rPr>
      <t xml:space="preserve"> =</t>
    </r>
  </si>
  <si>
    <r>
      <t>H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 : </t>
    </r>
    <r>
      <rPr>
        <b/>
        <sz val="11"/>
        <rFont val="Arial"/>
        <family val="2"/>
      </rPr>
      <t>μ</t>
    </r>
    <r>
      <rPr>
        <b/>
        <sz val="9.7"/>
        <rFont val="Tahoma"/>
        <family val="2"/>
      </rPr>
      <t xml:space="preserve"> = </t>
    </r>
    <r>
      <rPr>
        <b/>
        <sz val="11"/>
        <rFont val="Tahoma"/>
        <family val="2"/>
      </rPr>
      <t>µ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 </t>
    </r>
  </si>
  <si>
    <r>
      <t>H</t>
    </r>
    <r>
      <rPr>
        <b/>
        <vertAlign val="sub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: µ</t>
    </r>
    <r>
      <rPr>
        <b/>
        <sz val="11"/>
        <rFont val="Tahoma"/>
        <family val="2"/>
      </rPr>
      <t xml:space="preserve"> ≠ </t>
    </r>
    <r>
      <rPr>
        <b/>
        <sz val="11"/>
        <rFont val="Arial"/>
        <family val="2"/>
      </rPr>
      <t>μ</t>
    </r>
    <r>
      <rPr>
        <b/>
        <sz val="9.7"/>
        <rFont val="Tahoma"/>
        <family val="2"/>
      </rPr>
      <t>0</t>
    </r>
  </si>
  <si>
    <r>
      <t>μ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 = </t>
    </r>
  </si>
  <si>
    <r>
      <t>α</t>
    </r>
    <r>
      <rPr>
        <b/>
        <sz val="9.7"/>
        <rFont val="Tahoma"/>
        <family val="2"/>
      </rPr>
      <t xml:space="preserve"> =</t>
    </r>
  </si>
  <si>
    <r>
      <t xml:space="preserve"> - Poiché la statistica test</t>
    </r>
    <r>
      <rPr>
        <i/>
        <sz val="11"/>
        <rFont val="Tahoma"/>
        <family val="2"/>
      </rPr>
      <t xml:space="preserve"> t </t>
    </r>
    <r>
      <rPr>
        <sz val="11"/>
        <rFont val="Tahoma"/>
        <family val="2"/>
      </rPr>
      <t xml:space="preserve">= 0,86 &lt; 2,998 = </t>
    </r>
    <r>
      <rPr>
        <i/>
        <sz val="11"/>
        <rFont val="Tahoma"/>
        <family val="2"/>
      </rPr>
      <t>t</t>
    </r>
    <r>
      <rPr>
        <i/>
        <vertAlign val="subscript"/>
        <sz val="11"/>
        <rFont val="Tahoma"/>
        <family val="2"/>
      </rPr>
      <t>0,01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</t>
    </r>
  </si>
  <si>
    <r>
      <t>RIFIUTIAMO L'IPOTESI NULLA H</t>
    </r>
    <r>
      <rPr>
        <b/>
        <vertAlign val="subscript"/>
        <sz val="11"/>
        <rFont val="Tahoma"/>
        <family val="2"/>
      </rPr>
      <t>0</t>
    </r>
  </si>
  <si>
    <t xml:space="preserve">TOT          </t>
  </si>
  <si>
    <t xml:space="preserve"> - Per applicare la statistica test:</t>
  </si>
  <si>
    <r>
      <t>1) Costruiamo la tabella d'indipendenza (frequenze teoriche di indipendenza: n</t>
    </r>
    <r>
      <rPr>
        <vertAlign val="subscript"/>
        <sz val="11"/>
        <rFont val="Tahoma"/>
        <family val="2"/>
      </rPr>
      <t>ij</t>
    </r>
    <r>
      <rPr>
        <sz val="11"/>
        <rFont val="Tahoma"/>
        <family val="2"/>
      </rPr>
      <t>* = n</t>
    </r>
    <r>
      <rPr>
        <vertAlign val="subscript"/>
        <sz val="11"/>
        <rFont val="Tahoma"/>
        <family val="2"/>
      </rPr>
      <t>i0</t>
    </r>
    <r>
      <rPr>
        <sz val="11"/>
        <rFont val="Tahoma"/>
        <family val="2"/>
      </rPr>
      <t xml:space="preserve"> </t>
    </r>
    <r>
      <rPr>
        <sz val="11"/>
        <rFont val="Arial"/>
        <family val="2"/>
      </rPr>
      <t>•</t>
    </r>
    <r>
      <rPr>
        <sz val="11"/>
        <rFont val="Tahoma"/>
        <family val="2"/>
      </rPr>
      <t xml:space="preserve"> n</t>
    </r>
    <r>
      <rPr>
        <vertAlign val="subscript"/>
        <sz val="11"/>
        <rFont val="Tahoma"/>
        <family val="2"/>
      </rPr>
      <t>0j</t>
    </r>
    <r>
      <rPr>
        <sz val="11"/>
        <rFont val="Tahoma"/>
        <family val="2"/>
      </rPr>
      <t xml:space="preserve"> / n):</t>
    </r>
  </si>
  <si>
    <t xml:space="preserve"> - La somma dei rapporti nella tabella precedente è il valore della statistica test: </t>
  </si>
  <si>
    <t xml:space="preserve"> - Considerando che la variabile casuale       ha distribuzione Chi-quadrato con (s-1)(t-1) = 2 gradi di libertà, il valore soglia è</t>
  </si>
  <si>
    <t xml:space="preserve"> - Poiché risulta </t>
  </si>
  <si>
    <t>RIFIUTIAMO L'IPOTESI NULLA DI INDIPENDENZA</t>
  </si>
  <si>
    <r>
      <t>2) Costruiamo la tabella dei rapporti (n</t>
    </r>
    <r>
      <rPr>
        <vertAlign val="subscript"/>
        <sz val="11"/>
        <rFont val="Tahoma"/>
        <family val="2"/>
      </rPr>
      <t>ij</t>
    </r>
    <r>
      <rPr>
        <sz val="11"/>
        <rFont val="Tahoma"/>
        <family val="2"/>
      </rPr>
      <t xml:space="preserve"> - n</t>
    </r>
    <r>
      <rPr>
        <vertAlign val="subscript"/>
        <sz val="11"/>
        <rFont val="Tahoma"/>
        <family val="2"/>
      </rPr>
      <t>ij</t>
    </r>
    <r>
      <rPr>
        <sz val="11"/>
        <rFont val="Tahoma"/>
        <family val="2"/>
      </rPr>
      <t>*)</t>
    </r>
    <r>
      <rPr>
        <vertAlign val="superscript"/>
        <sz val="11"/>
        <rFont val="Tahoma"/>
        <family val="2"/>
      </rPr>
      <t>2</t>
    </r>
    <r>
      <rPr>
        <sz val="11"/>
        <rFont val="Tahoma"/>
        <family val="2"/>
      </rPr>
      <t xml:space="preserve"> / n</t>
    </r>
    <r>
      <rPr>
        <vertAlign val="subscript"/>
        <sz val="11"/>
        <rFont val="Tahoma"/>
        <family val="2"/>
      </rPr>
      <t>ij</t>
    </r>
    <r>
      <rPr>
        <sz val="11"/>
        <rFont val="Tahoma"/>
        <family val="2"/>
      </rPr>
      <t>* :</t>
    </r>
  </si>
  <si>
    <r>
      <t xml:space="preserve">Si costruisca l'intervallo fiduciario al 99% per </t>
    </r>
    <r>
      <rPr>
        <i/>
        <sz val="11"/>
        <rFont val="Tahoma"/>
        <family val="2"/>
      </rPr>
      <t>µ</t>
    </r>
    <r>
      <rPr>
        <sz val="11"/>
        <rFont val="Tahoma"/>
        <family val="2"/>
      </rPr>
      <t xml:space="preserve"> (numero medio di prodotti acquistati nella popolazione).</t>
    </r>
  </si>
  <si>
    <r>
      <t xml:space="preserve">Si stimi </t>
    </r>
    <r>
      <rPr>
        <i/>
        <sz val="11"/>
        <rFont val="Tahoma"/>
        <family val="2"/>
      </rPr>
      <t xml:space="preserve">p </t>
    </r>
    <r>
      <rPr>
        <sz val="11"/>
        <rFont val="Tahoma"/>
        <family val="2"/>
      </rPr>
      <t>(frequenza relativa, nella popolazione, degli individui che intendono comprare un numero maggiore di prodotti nel mese</t>
    </r>
  </si>
  <si>
    <r>
      <t xml:space="preserve">successivo) e si fornisca una stima della varianza dello stimatore di </t>
    </r>
    <r>
      <rPr>
        <i/>
        <sz val="11"/>
        <rFont val="Tahoma"/>
        <family val="2"/>
      </rPr>
      <t>p</t>
    </r>
    <r>
      <rPr>
        <sz val="11"/>
        <rFont val="Tahoma"/>
        <family val="2"/>
      </rPr>
      <t>.</t>
    </r>
  </si>
  <si>
    <r>
      <t xml:space="preserve">Si costruisca l'intervallo fiduciario al 90% per </t>
    </r>
    <r>
      <rPr>
        <i/>
        <sz val="11"/>
        <rFont val="Tahoma"/>
        <family val="2"/>
      </rPr>
      <t>p.</t>
    </r>
  </si>
  <si>
    <r>
      <t xml:space="preserve">Si verifichi l'ipotesi </t>
    </r>
    <r>
      <rPr>
        <i/>
        <sz val="11"/>
        <rFont val="Tahoma"/>
        <family val="2"/>
      </rPr>
      <t>H</t>
    </r>
    <r>
      <rPr>
        <i/>
        <vertAlign val="subscript"/>
        <sz val="11"/>
        <rFont val="Tahoma"/>
        <family val="2"/>
      </rPr>
      <t>0</t>
    </r>
    <r>
      <rPr>
        <i/>
        <sz val="11"/>
        <rFont val="Tahoma"/>
        <family val="2"/>
      </rPr>
      <t>: p =</t>
    </r>
    <r>
      <rPr>
        <sz val="11"/>
        <rFont val="Tahoma"/>
        <family val="2"/>
      </rPr>
      <t xml:space="preserve"> 0,3</t>
    </r>
    <r>
      <rPr>
        <i/>
        <sz val="11"/>
        <rFont val="Tahoma"/>
        <family val="2"/>
      </rPr>
      <t xml:space="preserve"> </t>
    </r>
    <r>
      <rPr>
        <sz val="11"/>
        <rFont val="Tahoma"/>
        <family val="2"/>
      </rPr>
      <t>contro</t>
    </r>
    <r>
      <rPr>
        <i/>
        <sz val="11"/>
        <rFont val="Tahoma"/>
        <family val="2"/>
      </rPr>
      <t xml:space="preserve"> H</t>
    </r>
    <r>
      <rPr>
        <i/>
        <vertAlign val="subscript"/>
        <sz val="11"/>
        <rFont val="Tahoma"/>
        <family val="2"/>
      </rPr>
      <t xml:space="preserve">1 </t>
    </r>
    <r>
      <rPr>
        <sz val="11"/>
        <rFont val="Tahoma"/>
        <family val="2"/>
      </rPr>
      <t xml:space="preserve">: </t>
    </r>
    <r>
      <rPr>
        <i/>
        <sz val="11"/>
        <rFont val="Tahoma"/>
        <family val="2"/>
      </rPr>
      <t xml:space="preserve">p &gt; </t>
    </r>
    <r>
      <rPr>
        <sz val="11"/>
        <rFont val="Tahoma"/>
        <family val="2"/>
      </rPr>
      <t xml:space="preserve">0,3 al livello </t>
    </r>
    <r>
      <rPr>
        <i/>
        <sz val="11"/>
        <rFont val="Tahoma"/>
        <family val="2"/>
      </rPr>
      <t xml:space="preserve">α = </t>
    </r>
    <r>
      <rPr>
        <sz val="11"/>
        <rFont val="Tahoma"/>
        <family val="2"/>
      </rPr>
      <t>0,05</t>
    </r>
  </si>
  <si>
    <r>
      <t>z</t>
    </r>
    <r>
      <rPr>
        <b/>
        <vertAlign val="subscript"/>
        <sz val="11"/>
        <rFont val="Tahoma"/>
        <family val="2"/>
      </rPr>
      <t xml:space="preserve">α </t>
    </r>
    <r>
      <rPr>
        <b/>
        <sz val="11"/>
        <rFont val="Tahoma"/>
        <family val="2"/>
      </rPr>
      <t>=</t>
    </r>
  </si>
  <si>
    <r>
      <t xml:space="preserve">Per la popolazione delle femmine, si verifichi l'ipotesi </t>
    </r>
    <r>
      <rPr>
        <i/>
        <sz val="11"/>
        <rFont val="Tahoma"/>
        <family val="2"/>
      </rPr>
      <t>H</t>
    </r>
    <r>
      <rPr>
        <vertAlign val="subscript"/>
        <sz val="11"/>
        <rFont val="Tahoma"/>
        <family val="2"/>
      </rPr>
      <t>0</t>
    </r>
    <r>
      <rPr>
        <sz val="11"/>
        <rFont val="Tahoma"/>
        <family val="2"/>
      </rPr>
      <t xml:space="preserve"> : </t>
    </r>
    <r>
      <rPr>
        <i/>
        <sz val="11"/>
        <rFont val="Tahoma"/>
        <family val="2"/>
      </rPr>
      <t>µ</t>
    </r>
    <r>
      <rPr>
        <sz val="11"/>
        <rFont val="Tahoma"/>
        <family val="2"/>
      </rPr>
      <t xml:space="preserve"> = 25 contro </t>
    </r>
    <r>
      <rPr>
        <i/>
        <sz val="11"/>
        <rFont val="Tahoma"/>
        <family val="2"/>
      </rPr>
      <t>H</t>
    </r>
    <r>
      <rPr>
        <vertAlign val="subscript"/>
        <sz val="11"/>
        <rFont val="Tahoma"/>
        <family val="2"/>
      </rPr>
      <t>1</t>
    </r>
    <r>
      <rPr>
        <sz val="11"/>
        <rFont val="Tahoma"/>
        <family val="2"/>
      </rPr>
      <t xml:space="preserve"> : </t>
    </r>
    <r>
      <rPr>
        <i/>
        <sz val="11"/>
        <rFont val="Tahoma"/>
        <family val="2"/>
      </rPr>
      <t>µ</t>
    </r>
    <r>
      <rPr>
        <sz val="11"/>
        <rFont val="Tahoma"/>
        <family val="2"/>
      </rPr>
      <t xml:space="preserve"> ≠ 25 (si ponga </t>
    </r>
    <r>
      <rPr>
        <i/>
        <sz val="11"/>
        <rFont val="Tahoma"/>
        <family val="2"/>
      </rPr>
      <t>α</t>
    </r>
    <r>
      <rPr>
        <sz val="11"/>
        <rFont val="Tahoma"/>
        <family val="2"/>
      </rPr>
      <t xml:space="preserve"> = 0,01) tramite il livello di</t>
    </r>
  </si>
  <si>
    <r>
      <t xml:space="preserve">Si verifichi l'ipotesi di indipendenza tra i due caratteri al livello </t>
    </r>
    <r>
      <rPr>
        <i/>
        <sz val="11"/>
        <rFont val="Tahoma"/>
        <family val="2"/>
      </rPr>
      <t>α</t>
    </r>
    <r>
      <rPr>
        <sz val="11"/>
        <rFont val="Tahoma"/>
        <family val="2"/>
      </rPr>
      <t xml:space="preserve"> = 0,05.</t>
    </r>
  </si>
  <si>
    <r>
      <t>TOT     (n</t>
    </r>
    <r>
      <rPr>
        <b/>
        <vertAlign val="subscript"/>
        <sz val="11"/>
        <rFont val="Tahoma"/>
        <family val="2"/>
      </rPr>
      <t>i0</t>
    </r>
    <r>
      <rPr>
        <b/>
        <sz val="11"/>
        <rFont val="Tahoma"/>
        <family val="2"/>
      </rPr>
      <t>)</t>
    </r>
  </si>
  <si>
    <r>
      <t xml:space="preserve">Facoltà di economia </t>
    </r>
    <r>
      <rPr>
        <sz val="16"/>
        <rFont val="Tahoma"/>
        <family val="2"/>
      </rPr>
      <t xml:space="preserve">- Esame di statistica (Modulo II) 16 Giugno 2008 A </t>
    </r>
    <r>
      <rPr>
        <b/>
        <sz val="16"/>
        <rFont val="Tahoma"/>
        <family val="2"/>
      </rPr>
      <t>(testo)</t>
    </r>
  </si>
  <si>
    <t xml:space="preserve">     Si calcoli la probabilità che in un campione casuale di 4 lampade, almeno 2 durino più di 600 ore.</t>
  </si>
  <si>
    <r>
      <t>B)</t>
    </r>
    <r>
      <rPr>
        <sz val="11"/>
        <rFont val="Tahoma"/>
        <family val="2"/>
      </rPr>
      <t xml:space="preserve"> In un'indagine di marketing condotta su un campione casuale di 182 individui, si è trovato che, nell'ultimo mese, il numero </t>
    </r>
  </si>
  <si>
    <r>
      <t xml:space="preserve">    medio di prodotti (del comparto alimentare) acquistati è pari a 25,7 con varianza campionaria uguale a </t>
    </r>
    <r>
      <rPr>
        <i/>
        <sz val="11"/>
        <rFont val="Tahoma"/>
        <family val="2"/>
      </rPr>
      <t>s</t>
    </r>
    <r>
      <rPr>
        <i/>
        <vertAlign val="superscript"/>
        <sz val="11"/>
        <rFont val="Tahoma"/>
        <family val="2"/>
      </rPr>
      <t>2</t>
    </r>
    <r>
      <rPr>
        <sz val="11"/>
        <rFont val="Tahoma"/>
        <family val="2"/>
      </rPr>
      <t xml:space="preserve"> = 14,88.</t>
    </r>
  </si>
  <si>
    <t xml:space="preserve">    Inoltre, 69 individui su 182 hanno manifestato la volontà di comprare un numero maggiore di prodotti nel mese successivo. </t>
  </si>
  <si>
    <r>
      <t xml:space="preserve">                   maggiore di prodotti nel mese successivo) e si fornisca una stima della varianza dello stimatore di </t>
    </r>
    <r>
      <rPr>
        <i/>
        <sz val="11"/>
        <rFont val="Tahoma"/>
        <family val="2"/>
      </rPr>
      <t>p</t>
    </r>
    <r>
      <rPr>
        <sz val="11"/>
        <rFont val="Tahoma"/>
        <family val="2"/>
      </rPr>
      <t>.</t>
    </r>
  </si>
  <si>
    <r>
      <t xml:space="preserve">               </t>
    </r>
    <r>
      <rPr>
        <b/>
        <sz val="11"/>
        <rFont val="Tahoma"/>
        <family val="2"/>
      </rPr>
      <t>1)</t>
    </r>
    <r>
      <rPr>
        <sz val="11"/>
        <rFont val="Tahoma"/>
        <family val="2"/>
      </rPr>
      <t xml:space="preserve"> Si costruisca l'intervallo fiduciario al 99% per </t>
    </r>
    <r>
      <rPr>
        <i/>
        <sz val="11"/>
        <rFont val="Tahoma"/>
        <family val="2"/>
      </rPr>
      <t>µ</t>
    </r>
    <r>
      <rPr>
        <sz val="11"/>
        <rFont val="Tahoma"/>
        <family val="2"/>
      </rPr>
      <t xml:space="preserve"> (numero medio di prodotti acquistati nella popolazione).</t>
    </r>
  </si>
  <si>
    <r>
      <t xml:space="preserve">               </t>
    </r>
    <r>
      <rPr>
        <b/>
        <sz val="11"/>
        <rFont val="Tahoma"/>
        <family val="2"/>
      </rPr>
      <t>2)</t>
    </r>
    <r>
      <rPr>
        <sz val="11"/>
        <rFont val="Tahoma"/>
        <family val="2"/>
      </rPr>
      <t xml:space="preserve"> Si stimi </t>
    </r>
    <r>
      <rPr>
        <i/>
        <sz val="11"/>
        <rFont val="Tahoma"/>
        <family val="2"/>
      </rPr>
      <t xml:space="preserve">p </t>
    </r>
    <r>
      <rPr>
        <sz val="11"/>
        <rFont val="Tahoma"/>
        <family val="2"/>
      </rPr>
      <t xml:space="preserve">(frequenza relativa, nella popolazione, degli individui che intendono comprare un numero </t>
    </r>
  </si>
  <si>
    <r>
      <t xml:space="preserve">               </t>
    </r>
    <r>
      <rPr>
        <b/>
        <sz val="11"/>
        <rFont val="Tahoma"/>
        <family val="2"/>
      </rPr>
      <t>3)</t>
    </r>
    <r>
      <rPr>
        <sz val="11"/>
        <rFont val="Tahoma"/>
        <family val="2"/>
      </rPr>
      <t xml:space="preserve"> Si costruisca l'intervallo fiduciario al 90% per </t>
    </r>
    <r>
      <rPr>
        <i/>
        <sz val="11"/>
        <rFont val="Tahoma"/>
        <family val="2"/>
      </rPr>
      <t>p.</t>
    </r>
  </si>
  <si>
    <r>
      <t xml:space="preserve">               </t>
    </r>
    <r>
      <rPr>
        <b/>
        <sz val="11"/>
        <rFont val="Tahoma"/>
        <family val="2"/>
      </rPr>
      <t>4)</t>
    </r>
    <r>
      <rPr>
        <sz val="11"/>
        <rFont val="Tahoma"/>
        <family val="2"/>
      </rPr>
      <t xml:space="preserve"> Si verifichi l'ipotesi </t>
    </r>
    <r>
      <rPr>
        <i/>
        <sz val="11"/>
        <rFont val="Tahoma"/>
        <family val="2"/>
      </rPr>
      <t>H</t>
    </r>
    <r>
      <rPr>
        <i/>
        <vertAlign val="subscript"/>
        <sz val="11"/>
        <rFont val="Tahoma"/>
        <family val="2"/>
      </rPr>
      <t>0</t>
    </r>
    <r>
      <rPr>
        <i/>
        <sz val="11"/>
        <rFont val="Tahoma"/>
        <family val="2"/>
      </rPr>
      <t>: p =</t>
    </r>
    <r>
      <rPr>
        <sz val="11"/>
        <rFont val="Tahoma"/>
        <family val="2"/>
      </rPr>
      <t xml:space="preserve"> 0,3</t>
    </r>
    <r>
      <rPr>
        <i/>
        <sz val="11"/>
        <rFont val="Tahoma"/>
        <family val="2"/>
      </rPr>
      <t xml:space="preserve"> </t>
    </r>
    <r>
      <rPr>
        <sz val="11"/>
        <rFont val="Tahoma"/>
        <family val="2"/>
      </rPr>
      <t>contro</t>
    </r>
    <r>
      <rPr>
        <i/>
        <sz val="11"/>
        <rFont val="Tahoma"/>
        <family val="2"/>
      </rPr>
      <t xml:space="preserve"> H</t>
    </r>
    <r>
      <rPr>
        <i/>
        <vertAlign val="subscript"/>
        <sz val="11"/>
        <rFont val="Tahoma"/>
        <family val="2"/>
      </rPr>
      <t xml:space="preserve">1 </t>
    </r>
    <r>
      <rPr>
        <sz val="11"/>
        <rFont val="Tahoma"/>
        <family val="2"/>
      </rPr>
      <t xml:space="preserve">: </t>
    </r>
    <r>
      <rPr>
        <i/>
        <sz val="11"/>
        <rFont val="Tahoma"/>
        <family val="2"/>
      </rPr>
      <t xml:space="preserve">p &gt; </t>
    </r>
    <r>
      <rPr>
        <sz val="11"/>
        <rFont val="Tahoma"/>
        <family val="2"/>
      </rPr>
      <t xml:space="preserve">0,3 al livello </t>
    </r>
    <r>
      <rPr>
        <i/>
        <sz val="11"/>
        <rFont val="Tahoma"/>
        <family val="2"/>
      </rPr>
      <t xml:space="preserve">α = </t>
    </r>
    <r>
      <rPr>
        <sz val="11"/>
        <rFont val="Tahoma"/>
        <family val="2"/>
      </rPr>
      <t>0,05</t>
    </r>
  </si>
  <si>
    <r>
      <t xml:space="preserve">C) </t>
    </r>
    <r>
      <rPr>
        <sz val="11"/>
        <rFont val="Tahoma"/>
        <family val="2"/>
      </rPr>
      <t>Si consideri la seguente tabella di contingenza per le variabili "Sesso" e "Reddito annuo", ottenuta da un campione casuale</t>
    </r>
  </si>
  <si>
    <t xml:space="preserve">    di 105 lavoratori:</t>
  </si>
  <si>
    <r>
      <t xml:space="preserve">               </t>
    </r>
    <r>
      <rPr>
        <b/>
        <sz val="11"/>
        <rFont val="Tahoma"/>
        <family val="2"/>
      </rPr>
      <t>1)</t>
    </r>
    <r>
      <rPr>
        <sz val="11"/>
        <rFont val="Tahoma"/>
        <family val="2"/>
      </rPr>
      <t xml:space="preserve"> Si stimi il reddito medio delle femmine e si fornisca la stima dell'errore standard dello stimatore.</t>
    </r>
  </si>
  <si>
    <r>
      <t xml:space="preserve">               </t>
    </r>
    <r>
      <rPr>
        <b/>
        <sz val="11"/>
        <rFont val="Tahoma"/>
        <family val="2"/>
      </rPr>
      <t>2)</t>
    </r>
    <r>
      <rPr>
        <sz val="11"/>
        <rFont val="Tahoma"/>
        <family val="2"/>
      </rPr>
      <t xml:space="preserve"> Per la popolazione delle femmine, si verifichi l'ipotesi </t>
    </r>
    <r>
      <rPr>
        <i/>
        <sz val="11"/>
        <rFont val="Tahoma"/>
        <family val="2"/>
      </rPr>
      <t>H</t>
    </r>
    <r>
      <rPr>
        <vertAlign val="subscript"/>
        <sz val="11"/>
        <rFont val="Tahoma"/>
        <family val="2"/>
      </rPr>
      <t>0</t>
    </r>
    <r>
      <rPr>
        <sz val="11"/>
        <rFont val="Tahoma"/>
        <family val="2"/>
      </rPr>
      <t xml:space="preserve"> : </t>
    </r>
    <r>
      <rPr>
        <i/>
        <sz val="11"/>
        <rFont val="Tahoma"/>
        <family val="2"/>
      </rPr>
      <t>µ</t>
    </r>
    <r>
      <rPr>
        <sz val="11"/>
        <rFont val="Tahoma"/>
        <family val="2"/>
      </rPr>
      <t xml:space="preserve"> = 25 contro </t>
    </r>
    <r>
      <rPr>
        <i/>
        <sz val="11"/>
        <rFont val="Tahoma"/>
        <family val="2"/>
      </rPr>
      <t>H</t>
    </r>
    <r>
      <rPr>
        <vertAlign val="subscript"/>
        <sz val="11"/>
        <rFont val="Tahoma"/>
        <family val="2"/>
      </rPr>
      <t>1</t>
    </r>
    <r>
      <rPr>
        <sz val="11"/>
        <rFont val="Tahoma"/>
        <family val="2"/>
      </rPr>
      <t xml:space="preserve"> : </t>
    </r>
    <r>
      <rPr>
        <i/>
        <sz val="11"/>
        <rFont val="Tahoma"/>
        <family val="2"/>
      </rPr>
      <t>µ</t>
    </r>
    <r>
      <rPr>
        <sz val="11"/>
        <rFont val="Tahoma"/>
        <family val="2"/>
      </rPr>
      <t xml:space="preserve"> ≠ 25 (si ponga </t>
    </r>
    <r>
      <rPr>
        <i/>
        <sz val="11"/>
        <rFont val="Tahoma"/>
        <family val="2"/>
      </rPr>
      <t>α</t>
    </r>
    <r>
      <rPr>
        <sz val="11"/>
        <rFont val="Tahoma"/>
        <family val="2"/>
      </rPr>
      <t xml:space="preserve"> = 0,01)</t>
    </r>
  </si>
  <si>
    <t xml:space="preserve">                    tramite il livello di significatività osservato.</t>
  </si>
  <si>
    <r>
      <t xml:space="preserve">               </t>
    </r>
    <r>
      <rPr>
        <b/>
        <sz val="11"/>
        <rFont val="Tahoma"/>
        <family val="2"/>
      </rPr>
      <t>3)</t>
    </r>
    <r>
      <rPr>
        <sz val="11"/>
        <rFont val="Tahoma"/>
        <family val="2"/>
      </rPr>
      <t xml:space="preserve"> Si verifichi l'ipotesi di indipendenza tra i due caratteri al livello </t>
    </r>
    <r>
      <rPr>
        <i/>
        <sz val="11"/>
        <rFont val="Tahoma"/>
        <family val="2"/>
      </rPr>
      <t>α</t>
    </r>
    <r>
      <rPr>
        <sz val="11"/>
        <rFont val="Tahoma"/>
        <family val="2"/>
      </rPr>
      <t xml:space="preserve"> = 0,05.</t>
    </r>
  </si>
  <si>
    <t>SVOLGIMENTO ESAME DI STATISTICA - MODULO II - 16/06/2008</t>
  </si>
  <si>
    <t xml:space="preserve">n = </t>
  </si>
  <si>
    <r>
      <t>X</t>
    </r>
    <r>
      <rPr>
        <b/>
        <vertAlign val="subscript"/>
        <sz val="11"/>
        <rFont val="Tahoma"/>
        <family val="2"/>
      </rPr>
      <t>m</t>
    </r>
    <r>
      <rPr>
        <b/>
        <sz val="11"/>
        <rFont val="Tahoma"/>
        <family val="2"/>
      </rPr>
      <t xml:space="preserve"> =</t>
    </r>
  </si>
  <si>
    <r>
      <t>s</t>
    </r>
    <r>
      <rPr>
        <b/>
        <vertAlign val="superscript"/>
        <sz val="11"/>
        <rFont val="Tahoma"/>
        <family val="2"/>
      </rPr>
      <t>2</t>
    </r>
    <r>
      <rPr>
        <b/>
        <sz val="11"/>
        <rFont val="Tahoma"/>
        <family val="2"/>
      </rPr>
      <t xml:space="preserve"> =</t>
    </r>
  </si>
  <si>
    <t xml:space="preserve"> - I limiti dell'intervallo fiduciario sono:</t>
  </si>
  <si>
    <r>
      <t xml:space="preserve">   (dato che la varianza non è nota ma stimata dal campione dovremmo utilizzare t</t>
    </r>
    <r>
      <rPr>
        <vertAlign val="subscript"/>
        <sz val="11"/>
        <rFont val="Arial"/>
        <family val="2"/>
      </rPr>
      <t>α</t>
    </r>
    <r>
      <rPr>
        <vertAlign val="subscript"/>
        <sz val="11"/>
        <rFont val="Tahoma"/>
        <family val="2"/>
      </rPr>
      <t>/2</t>
    </r>
    <r>
      <rPr>
        <sz val="11"/>
        <rFont val="Tahoma"/>
        <family val="2"/>
      </rPr>
      <t xml:space="preserve"> ma poiché n è grande utilizziamo z</t>
    </r>
    <r>
      <rPr>
        <vertAlign val="subscript"/>
        <sz val="11"/>
        <rFont val="Arial"/>
        <family val="2"/>
      </rPr>
      <t>α</t>
    </r>
    <r>
      <rPr>
        <vertAlign val="subscript"/>
        <sz val="11"/>
        <rFont val="Tahoma"/>
        <family val="2"/>
      </rPr>
      <t>/2</t>
    </r>
    <r>
      <rPr>
        <sz val="11"/>
        <rFont val="Tahoma"/>
        <family val="2"/>
      </rPr>
      <t>)</t>
    </r>
  </si>
  <si>
    <r>
      <t xml:space="preserve">   e varianza pari a 2r</t>
    </r>
    <r>
      <rPr>
        <sz val="11"/>
        <rFont val="Tahoma"/>
        <family val="2"/>
      </rPr>
      <t>, dove r = gradi di libertà della distribuzione chi-quadrato. Cioè:</t>
    </r>
  </si>
  <si>
    <r>
      <t xml:space="preserve">X </t>
    </r>
    <r>
      <rPr>
        <sz val="11"/>
        <rFont val="Arial"/>
        <family val="0"/>
      </rPr>
      <t>~</t>
    </r>
    <r>
      <rPr>
        <sz val="11"/>
        <rFont val="Tahoma"/>
        <family val="2"/>
      </rPr>
      <t xml:space="preserve"> N (36, 72)</t>
    </r>
  </si>
  <si>
    <r>
      <t xml:space="preserve">Xm </t>
    </r>
    <r>
      <rPr>
        <sz val="11"/>
        <rFont val="Arial"/>
        <family val="0"/>
      </rPr>
      <t>~</t>
    </r>
    <r>
      <rPr>
        <sz val="11"/>
        <rFont val="Tahoma"/>
        <family val="2"/>
      </rPr>
      <t xml:space="preserve"> N (36, 72/50)</t>
    </r>
  </si>
  <si>
    <t>= 0,61375</t>
  </si>
  <si>
    <r>
      <t>z</t>
    </r>
    <r>
      <rPr>
        <b/>
        <vertAlign val="subscript"/>
        <sz val="11"/>
        <rFont val="Arial"/>
        <family val="2"/>
      </rPr>
      <t>α</t>
    </r>
    <r>
      <rPr>
        <b/>
        <vertAlign val="subscript"/>
        <sz val="9.7"/>
        <rFont val="Tahoma"/>
        <family val="2"/>
      </rPr>
      <t>/2</t>
    </r>
    <r>
      <rPr>
        <b/>
        <sz val="9.7"/>
        <rFont val="Tahoma"/>
        <family val="2"/>
      </rPr>
      <t xml:space="preserve"> =</t>
    </r>
  </si>
  <si>
    <r>
      <t>z</t>
    </r>
    <r>
      <rPr>
        <b/>
        <vertAlign val="subscript"/>
        <sz val="11"/>
        <rFont val="Tahoma"/>
        <family val="2"/>
      </rPr>
      <t>0,005</t>
    </r>
    <r>
      <rPr>
        <b/>
        <sz val="11"/>
        <rFont val="Tahoma"/>
        <family val="2"/>
      </rPr>
      <t xml:space="preserve"> =</t>
    </r>
  </si>
  <si>
    <r>
      <t>L</t>
    </r>
    <r>
      <rPr>
        <b/>
        <vertAlign val="sub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=</t>
    </r>
  </si>
  <si>
    <t xml:space="preserve"> - Utilizzando la formula </t>
  </si>
  <si>
    <t xml:space="preserve">otteniamo </t>
  </si>
  <si>
    <r>
      <t>z</t>
    </r>
    <r>
      <rPr>
        <b/>
        <vertAlign val="subscript"/>
        <sz val="11"/>
        <rFont val="Tahoma"/>
        <family val="2"/>
      </rPr>
      <t>0,05</t>
    </r>
    <r>
      <rPr>
        <b/>
        <sz val="11"/>
        <rFont val="Tahoma"/>
        <family val="2"/>
      </rPr>
      <t xml:space="preserve"> =</t>
    </r>
  </si>
  <si>
    <r>
      <t>H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>:    p</t>
    </r>
    <r>
      <rPr>
        <b/>
        <sz val="9.7"/>
        <rFont val="Tahoma"/>
        <family val="2"/>
      </rPr>
      <t xml:space="preserve"> = </t>
    </r>
    <r>
      <rPr>
        <b/>
        <sz val="11"/>
        <rFont val="Tahoma"/>
        <family val="2"/>
      </rPr>
      <t>p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 </t>
    </r>
  </si>
  <si>
    <r>
      <t xml:space="preserve"> </t>
    </r>
    <r>
      <rPr>
        <b/>
        <sz val="11"/>
        <rFont val="Tahoma"/>
        <family val="2"/>
      </rPr>
      <t>p</t>
    </r>
    <r>
      <rPr>
        <b/>
        <vertAlign val="subscript"/>
        <sz val="11"/>
        <rFont val="Tahoma"/>
        <family val="2"/>
      </rPr>
      <t xml:space="preserve">0 </t>
    </r>
    <r>
      <rPr>
        <b/>
        <sz val="11"/>
        <rFont val="Tahoma"/>
        <family val="2"/>
      </rPr>
      <t xml:space="preserve">=  </t>
    </r>
  </si>
  <si>
    <t xml:space="preserve">dove </t>
  </si>
  <si>
    <t xml:space="preserve"> - La zona di rifiuto del test data da:</t>
  </si>
  <si>
    <r>
      <t xml:space="preserve"> - Poiché la statistica test z = 2,329 &gt; 1,645 = z</t>
    </r>
    <r>
      <rPr>
        <vertAlign val="subscript"/>
        <sz val="11"/>
        <rFont val="Arial"/>
        <family val="2"/>
      </rPr>
      <t>α</t>
    </r>
  </si>
  <si>
    <t>RIFIUTIAMO L'IPOTESI NULLA</t>
  </si>
  <si>
    <r>
      <t>x</t>
    </r>
    <r>
      <rPr>
        <b/>
        <vertAlign val="subscript"/>
        <sz val="11"/>
        <color indexed="8"/>
        <rFont val="Tahoma"/>
        <family val="2"/>
      </rPr>
      <t>i</t>
    </r>
  </si>
  <si>
    <r>
      <t>n</t>
    </r>
    <r>
      <rPr>
        <b/>
        <i/>
        <vertAlign val="subscript"/>
        <sz val="11"/>
        <color indexed="8"/>
        <rFont val="Tahoma"/>
        <family val="2"/>
      </rPr>
      <t>i</t>
    </r>
  </si>
  <si>
    <r>
      <t>(</t>
    </r>
    <r>
      <rPr>
        <b/>
        <i/>
        <sz val="11"/>
        <color indexed="8"/>
        <rFont val="Tahoma"/>
        <family val="2"/>
      </rPr>
      <t>x</t>
    </r>
    <r>
      <rPr>
        <b/>
        <i/>
        <vertAlign val="subscript"/>
        <sz val="11"/>
        <color indexed="8"/>
        <rFont val="Tahoma"/>
        <family val="2"/>
      </rPr>
      <t xml:space="preserve">i </t>
    </r>
    <r>
      <rPr>
        <b/>
        <i/>
        <sz val="11"/>
        <color indexed="8"/>
        <rFont val="Tahoma"/>
        <family val="2"/>
      </rPr>
      <t>– x</t>
    </r>
    <r>
      <rPr>
        <b/>
        <i/>
        <vertAlign val="subscript"/>
        <sz val="11"/>
        <color indexed="8"/>
        <rFont val="Tahoma"/>
        <family val="2"/>
      </rPr>
      <t>m</t>
    </r>
    <r>
      <rPr>
        <b/>
        <sz val="11"/>
        <color indexed="8"/>
        <rFont val="Tahoma"/>
        <family val="2"/>
      </rPr>
      <t>)</t>
    </r>
    <r>
      <rPr>
        <b/>
        <vertAlign val="superscript"/>
        <sz val="11"/>
        <color indexed="8"/>
        <rFont val="Tahoma"/>
        <family val="2"/>
      </rPr>
      <t>2</t>
    </r>
  </si>
  <si>
    <r>
      <t>x</t>
    </r>
    <r>
      <rPr>
        <b/>
        <vertAlign val="subscript"/>
        <sz val="11"/>
        <rFont val="Tahoma"/>
        <family val="2"/>
      </rPr>
      <t>m</t>
    </r>
    <r>
      <rPr>
        <b/>
        <sz val="11"/>
        <rFont val="Tahoma"/>
        <family val="2"/>
      </rPr>
      <t xml:space="preserve"> =</t>
    </r>
  </si>
  <si>
    <r>
      <t>x</t>
    </r>
    <r>
      <rPr>
        <b/>
        <vertAlign val="subscript"/>
        <sz val="11"/>
        <rFont val="Tahoma"/>
        <family val="2"/>
      </rPr>
      <t>i</t>
    </r>
    <r>
      <rPr>
        <b/>
        <sz val="11"/>
        <rFont val="Tahoma"/>
        <family val="2"/>
      </rPr>
      <t xml:space="preserve"> </t>
    </r>
    <r>
      <rPr>
        <b/>
        <sz val="11"/>
        <rFont val="Arial"/>
        <family val="2"/>
      </rPr>
      <t>·</t>
    </r>
    <r>
      <rPr>
        <b/>
        <sz val="11"/>
        <rFont val="Tahoma"/>
        <family val="2"/>
      </rPr>
      <t xml:space="preserve"> n</t>
    </r>
    <r>
      <rPr>
        <b/>
        <vertAlign val="subscript"/>
        <sz val="11"/>
        <rFont val="Tahoma"/>
        <family val="2"/>
      </rPr>
      <t>i</t>
    </r>
  </si>
  <si>
    <r>
      <t>(</t>
    </r>
    <r>
      <rPr>
        <b/>
        <i/>
        <sz val="11"/>
        <color indexed="8"/>
        <rFont val="Tahoma"/>
        <family val="2"/>
      </rPr>
      <t>x</t>
    </r>
    <r>
      <rPr>
        <b/>
        <i/>
        <vertAlign val="subscript"/>
        <sz val="11"/>
        <color indexed="8"/>
        <rFont val="Tahoma"/>
        <family val="2"/>
      </rPr>
      <t xml:space="preserve">i </t>
    </r>
    <r>
      <rPr>
        <b/>
        <i/>
        <sz val="11"/>
        <color indexed="8"/>
        <rFont val="Tahoma"/>
        <family val="2"/>
      </rPr>
      <t>– x</t>
    </r>
    <r>
      <rPr>
        <b/>
        <i/>
        <vertAlign val="subscript"/>
        <sz val="11"/>
        <color indexed="8"/>
        <rFont val="Tahoma"/>
        <family val="2"/>
      </rPr>
      <t>m</t>
    </r>
    <r>
      <rPr>
        <b/>
        <sz val="11"/>
        <color indexed="8"/>
        <rFont val="Tahoma"/>
        <family val="2"/>
      </rPr>
      <t>)</t>
    </r>
    <r>
      <rPr>
        <b/>
        <vertAlign val="superscript"/>
        <sz val="11"/>
        <color indexed="8"/>
        <rFont val="Tahoma"/>
        <family val="2"/>
      </rPr>
      <t>2</t>
    </r>
    <r>
      <rPr>
        <b/>
        <i/>
        <sz val="11"/>
        <color indexed="8"/>
        <rFont val="Tahoma"/>
        <family val="2"/>
      </rPr>
      <t>· n</t>
    </r>
    <r>
      <rPr>
        <b/>
        <i/>
        <vertAlign val="subscript"/>
        <sz val="11"/>
        <color indexed="8"/>
        <rFont val="Tahoma"/>
        <family val="2"/>
      </rPr>
      <t>i</t>
    </r>
  </si>
  <si>
    <r>
      <t xml:space="preserve"> - Calcoliamo la probabilità che X</t>
    </r>
    <r>
      <rPr>
        <vertAlign val="subscript"/>
        <sz val="11"/>
        <rFont val="Tahoma"/>
        <family val="2"/>
      </rPr>
      <t>m</t>
    </r>
    <r>
      <rPr>
        <sz val="11"/>
        <rFont val="Tahoma"/>
        <family val="2"/>
      </rPr>
      <t xml:space="preserve"> sia maggiore di 193, supponendo che X </t>
    </r>
    <r>
      <rPr>
        <sz val="11"/>
        <rFont val="Arial"/>
        <family val="0"/>
      </rPr>
      <t>~</t>
    </r>
    <r>
      <rPr>
        <sz val="11"/>
        <rFont val="Tahoma"/>
        <family val="2"/>
      </rPr>
      <t xml:space="preserve"> N(190,260).</t>
    </r>
  </si>
  <si>
    <r>
      <t xml:space="preserve"> -</t>
    </r>
    <r>
      <rPr>
        <b/>
        <sz val="11"/>
        <rFont val="Tahoma"/>
        <family val="2"/>
      </rPr>
      <t xml:space="preserve"> Interpretazione:</t>
    </r>
    <r>
      <rPr>
        <sz val="11"/>
        <rFont val="Tahoma"/>
        <family val="2"/>
      </rPr>
      <t xml:space="preserve"> la probabilità P (Xm &gt; 193) è la potenza del test, cioè la probabilità di rifiutare l'ipotesi nulla quando è falsa.</t>
    </r>
  </si>
  <si>
    <t xml:space="preserve">   Dato che la potenza del test è pari a 0,3 possiamo dire che il test non è molto potente e si ha una elevata probabilità (0,7) di commettere</t>
  </si>
  <si>
    <t xml:space="preserve">   l'errore di seconda specie, cioè di decidere di non rifiutare l'ipotesi nulla quando invece è falsa.</t>
  </si>
  <si>
    <r>
      <t>A)</t>
    </r>
    <r>
      <rPr>
        <sz val="11"/>
        <rFont val="Tahoma"/>
        <family val="2"/>
      </rPr>
      <t xml:space="preserve"> La durata in ore delle lampade di tipo A prodotte da una certa impresa è una variabile casuale Y tale che P (Y &gt; 600) = 0,72. </t>
    </r>
  </si>
  <si>
    <t xml:space="preserve"> - Definiamo una nuova variabile casuale X = numero di lampadine che durano almeno 600 ore.</t>
  </si>
  <si>
    <t xml:space="preserve"> - La variabile casuale X ha distribuizione binomiale con probabilità di successo (= durata superiore a 600 ore) pari a p = P(Y &gt; 600). </t>
  </si>
  <si>
    <t>p =</t>
  </si>
  <si>
    <t>P(X = 2) =</t>
  </si>
  <si>
    <t>P(X = 3) =</t>
  </si>
  <si>
    <t>P(X = 4) =</t>
  </si>
  <si>
    <r>
      <t>N.B.</t>
    </r>
    <r>
      <rPr>
        <sz val="11"/>
        <rFont val="Tahoma"/>
        <family val="2"/>
      </rPr>
      <t xml:space="preserve"> In modo del tutto analogo si può ottenere la probabilità richiesta con la formula</t>
    </r>
  </si>
  <si>
    <t xml:space="preserve">La durata in ore delle lampade di tipo A prodotte da una certa impresa è una variabile casuale Y tale che P (Y &gt; 600) = 0,72. </t>
  </si>
  <si>
    <t>Si calcoli la probabilità che in un campione casuale di 4 lampade, almeno 2 durino più di 600 ore.</t>
  </si>
  <si>
    <t xml:space="preserve"> - Calcoliamo le singole probabilità utilizzando la formula della distribuzione binomiale:</t>
  </si>
  <si>
    <r>
      <t>H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:    </t>
    </r>
    <r>
      <rPr>
        <b/>
        <sz val="11"/>
        <rFont val="Arial"/>
        <family val="2"/>
      </rPr>
      <t>μ</t>
    </r>
    <r>
      <rPr>
        <b/>
        <sz val="9.7"/>
        <rFont val="Tahoma"/>
        <family val="2"/>
      </rPr>
      <t xml:space="preserve"> = </t>
    </r>
    <r>
      <rPr>
        <b/>
        <sz val="11"/>
        <rFont val="Arial"/>
        <family val="2"/>
      </rPr>
      <t>μ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 </t>
    </r>
  </si>
  <si>
    <r>
      <t xml:space="preserve"> </t>
    </r>
    <r>
      <rPr>
        <b/>
        <sz val="11"/>
        <rFont val="Arial"/>
        <family val="2"/>
      </rPr>
      <t>μ</t>
    </r>
    <r>
      <rPr>
        <b/>
        <vertAlign val="subscript"/>
        <sz val="11"/>
        <rFont val="Tahoma"/>
        <family val="2"/>
      </rPr>
      <t xml:space="preserve">0 </t>
    </r>
    <r>
      <rPr>
        <b/>
        <sz val="11"/>
        <rFont val="Tahoma"/>
        <family val="2"/>
      </rPr>
      <t xml:space="preserve">=  </t>
    </r>
  </si>
  <si>
    <r>
      <t xml:space="preserve">t </t>
    </r>
    <r>
      <rPr>
        <b/>
        <vertAlign val="subscript"/>
        <sz val="11"/>
        <rFont val="Tahoma"/>
        <family val="2"/>
      </rPr>
      <t>oss</t>
    </r>
    <r>
      <rPr>
        <b/>
        <sz val="11"/>
        <rFont val="Tahoma"/>
        <family val="2"/>
      </rPr>
      <t xml:space="preserve"> =</t>
    </r>
  </si>
  <si>
    <t xml:space="preserve">    possiamo utilizzare una distribuzione normale standard)</t>
  </si>
  <si>
    <t xml:space="preserve">   (dato che la varianza non è nota ma stimata dal campione dovremmo considerare una distribuzione t di Student ma poiché n è grande</t>
  </si>
  <si>
    <t>NON RIFIUTIAMO L'IPOTESI NULLA</t>
  </si>
  <si>
    <r>
      <t xml:space="preserve"> - Poiché </t>
    </r>
    <r>
      <rPr>
        <sz val="11"/>
        <rFont val="Arial"/>
        <family val="2"/>
      </rPr>
      <t>α</t>
    </r>
    <r>
      <rPr>
        <vertAlign val="subscript"/>
        <sz val="11"/>
        <rFont val="Tahoma"/>
        <family val="2"/>
      </rPr>
      <t>oss</t>
    </r>
    <r>
      <rPr>
        <sz val="11"/>
        <rFont val="Tahoma"/>
        <family val="2"/>
      </rPr>
      <t xml:space="preserve"> = 0,317 &gt; 0,01 = </t>
    </r>
    <r>
      <rPr>
        <sz val="11"/>
        <rFont val="Arial"/>
        <family val="2"/>
      </rPr>
      <t>α</t>
    </r>
    <r>
      <rPr>
        <sz val="11"/>
        <rFont val="Tahoma"/>
        <family val="2"/>
      </rPr>
      <t xml:space="preserve"> </t>
    </r>
  </si>
  <si>
    <t xml:space="preserve"> NON RIFIUTIAMO L'IPOTESI NULLA DI INDIPENDENZA</t>
  </si>
  <si>
    <t xml:space="preserve">                  fiduciario al 99%.</t>
  </si>
  <si>
    <t xml:space="preserve">     università, il tempo di attesa medio (in mesi), osservato in un campione casuale di 320 unità, è risultato pari a 16,3 con una deviazione</t>
  </si>
  <si>
    <t xml:space="preserve">      Nella tabella che segue è riportata la distribuzione doppia degli addetti secondo il corso di formazione seguito e la percentuale di </t>
  </si>
  <si>
    <t xml:space="preserve">      pezzi difettosi osservati nell'ultimo anno lavorativo:</t>
  </si>
  <si>
    <t xml:space="preserve">                  seguito il corso B e se ne indichi il significato.</t>
  </si>
  <si>
    <t xml:space="preserve">                  seguito il corso di formazione A.</t>
  </si>
  <si>
    <t>SVOLGIMENTO ESAME DI STATISTICA - MODULO II - 16/07/2008</t>
  </si>
  <si>
    <t xml:space="preserve"> - Definiamo una nuova variabile casuale X = numero di volte che il ritardo supera i 7 minuti.</t>
  </si>
  <si>
    <t>P(Y &gt; 7) =1- P(Y &lt; 7) = 1 - P (Z &lt; (7-6)/2,5) = 1- P(Z &lt; 0,4) =</t>
  </si>
  <si>
    <t xml:space="preserve"> - La variabile casuale X ha distribuizione binomiale con probabilità di successo (= ritardo superiore a 7 minuti) pari a p = P(Y &gt; 7). </t>
  </si>
  <si>
    <t xml:space="preserve"> - Poiché il numero delle osservazioni è elevato possiamo applicare il teorema del limite centrale e approssimare la distribuzione binomiale con </t>
  </si>
  <si>
    <t xml:space="preserve">  una distribuzione normale con media e varianza:</t>
  </si>
  <si>
    <t>Var(x)= n·p·(1-p)=</t>
  </si>
  <si>
    <t xml:space="preserve">P(X &lt; 25) = </t>
  </si>
  <si>
    <r>
      <t xml:space="preserve">(consideriamo Z e non </t>
    </r>
    <r>
      <rPr>
        <i/>
        <sz val="11"/>
        <rFont val="Tahoma"/>
        <family val="2"/>
      </rPr>
      <t>t</t>
    </r>
    <r>
      <rPr>
        <sz val="11"/>
        <rFont val="Tahoma"/>
        <family val="2"/>
      </rPr>
      <t xml:space="preserve"> perché il campione è grande)</t>
    </r>
  </si>
  <si>
    <r>
      <t xml:space="preserve"> - Poiché la statistica test</t>
    </r>
    <r>
      <rPr>
        <i/>
        <sz val="11"/>
        <rFont val="Tahoma"/>
        <family val="2"/>
      </rPr>
      <t xml:space="preserve"> z</t>
    </r>
    <r>
      <rPr>
        <sz val="11"/>
        <rFont val="Tahoma"/>
        <family val="2"/>
      </rPr>
      <t xml:space="preserve"> = 9,965 &gt; 1,96 = z</t>
    </r>
    <r>
      <rPr>
        <i/>
        <vertAlign val="subscript"/>
        <sz val="11"/>
        <rFont val="Tahoma"/>
        <family val="2"/>
      </rPr>
      <t>0,025</t>
    </r>
    <r>
      <rPr>
        <sz val="11"/>
        <rFont val="Tahoma"/>
        <family val="2"/>
      </rPr>
      <t xml:space="preserve"> </t>
    </r>
  </si>
  <si>
    <r>
      <t xml:space="preserve">z </t>
    </r>
    <r>
      <rPr>
        <b/>
        <vertAlign val="subscript"/>
        <sz val="11"/>
        <rFont val="Arial"/>
        <family val="2"/>
      </rPr>
      <t>α</t>
    </r>
    <r>
      <rPr>
        <b/>
        <vertAlign val="subscript"/>
        <sz val="9.7"/>
        <rFont val="Tahoma"/>
        <family val="2"/>
      </rPr>
      <t>/2</t>
    </r>
    <r>
      <rPr>
        <b/>
        <sz val="9.7"/>
        <rFont val="Tahoma"/>
        <family val="2"/>
      </rPr>
      <t xml:space="preserve"> =</t>
    </r>
  </si>
  <si>
    <r>
      <t xml:space="preserve"> - Poiché la statistica test</t>
    </r>
    <r>
      <rPr>
        <i/>
        <sz val="11"/>
        <rFont val="Tahoma"/>
        <family val="2"/>
      </rPr>
      <t xml:space="preserve"> z</t>
    </r>
    <r>
      <rPr>
        <sz val="11"/>
        <rFont val="Tahoma"/>
        <family val="2"/>
      </rPr>
      <t xml:space="preserve"> = 2,736 &gt; 1,64 = z</t>
    </r>
    <r>
      <rPr>
        <i/>
        <vertAlign val="subscript"/>
        <sz val="11"/>
        <rFont val="Tahoma"/>
        <family val="2"/>
      </rPr>
      <t>0,05</t>
    </r>
    <r>
      <rPr>
        <sz val="11"/>
        <rFont val="Tahoma"/>
        <family val="2"/>
      </rPr>
      <t xml:space="preserve"> </t>
    </r>
  </si>
  <si>
    <r>
      <t xml:space="preserve">A)  </t>
    </r>
    <r>
      <rPr>
        <sz val="11"/>
        <rFont val="Tahoma"/>
        <family val="2"/>
      </rPr>
      <t>Il ritardo del treno Roma Perugia delle ore 20:50 si distribuisce normalmente con media (in minuti) 6 e deviazione standard 2,5.</t>
    </r>
  </si>
  <si>
    <r>
      <t xml:space="preserve">              </t>
    </r>
    <r>
      <rPr>
        <b/>
        <sz val="11"/>
        <rFont val="Tahoma"/>
        <family val="2"/>
      </rPr>
      <t>1)</t>
    </r>
    <r>
      <rPr>
        <sz val="11"/>
        <rFont val="Tahoma"/>
        <family val="2"/>
      </rPr>
      <t xml:space="preserve"> Si determini la probabilità che il ritardo superi i 7 minuti.</t>
    </r>
  </si>
  <si>
    <r>
      <t xml:space="preserve">              </t>
    </r>
    <r>
      <rPr>
        <b/>
        <sz val="11"/>
        <rFont val="Tahoma"/>
        <family val="2"/>
      </rPr>
      <t>2)</t>
    </r>
    <r>
      <rPr>
        <sz val="11"/>
        <rFont val="Tahoma"/>
        <family val="2"/>
      </rPr>
      <t xml:space="preserve"> Si calcoli la probabilità che in tre mesi (90 osservazioni) un ritardo superiore a 7 minuti si verifichi non più di 25 volte.</t>
    </r>
  </si>
  <si>
    <r>
      <t>B)</t>
    </r>
    <r>
      <rPr>
        <sz val="11"/>
        <rFont val="Tahoma"/>
        <family val="2"/>
      </rPr>
      <t xml:space="preserve">  In un' indagine sui tempi di attesa per l'inserimento nel mondo del lavoro dei laureati della Facoltà di Economia di una certa</t>
    </r>
  </si>
  <si>
    <r>
      <t xml:space="preserve">     standard pari a </t>
    </r>
    <r>
      <rPr>
        <i/>
        <sz val="11"/>
        <rFont val="Tahoma"/>
        <family val="2"/>
      </rPr>
      <t>s</t>
    </r>
    <r>
      <rPr>
        <sz val="11"/>
        <rFont val="Tahoma"/>
        <family val="2"/>
      </rPr>
      <t xml:space="preserve"> = 8,5. Si è osservato, inoltre, che 59 laureati hanno trovato lavoro in meno di 5 mesi.</t>
    </r>
  </si>
  <si>
    <r>
      <t xml:space="preserve">              </t>
    </r>
    <r>
      <rPr>
        <b/>
        <sz val="11"/>
        <rFont val="Tahoma"/>
        <family val="2"/>
      </rPr>
      <t>1)</t>
    </r>
    <r>
      <rPr>
        <sz val="11"/>
        <rFont val="Tahoma"/>
        <family val="2"/>
      </rPr>
      <t xml:space="preserve"> Si verifichi l'ipotesi che il tempo di attesa medio nella popolazione sia 15 mesi contro l'alternativa che sia superiore (α = 0,05)</t>
    </r>
  </si>
  <si>
    <r>
      <t xml:space="preserve">              </t>
    </r>
    <r>
      <rPr>
        <b/>
        <sz val="11"/>
        <rFont val="Tahoma"/>
        <family val="2"/>
      </rPr>
      <t>2)</t>
    </r>
    <r>
      <rPr>
        <sz val="11"/>
        <rFont val="Tahoma"/>
        <family val="2"/>
      </rPr>
      <t xml:space="preserve"> Con riferimento al punto precedente, si determini il livello di significatività osservato.</t>
    </r>
  </si>
  <si>
    <r>
      <t xml:space="preserve">              </t>
    </r>
    <r>
      <rPr>
        <b/>
        <sz val="11"/>
        <rFont val="Tahoma"/>
        <family val="2"/>
      </rPr>
      <t>3)</t>
    </r>
    <r>
      <rPr>
        <sz val="11"/>
        <rFont val="Tahoma"/>
        <family val="2"/>
      </rPr>
      <t xml:space="preserve"> Si stimi la frazione </t>
    </r>
    <r>
      <rPr>
        <i/>
        <sz val="11"/>
        <rFont val="Tahoma"/>
        <family val="2"/>
      </rPr>
      <t>p</t>
    </r>
    <r>
      <rPr>
        <sz val="11"/>
        <rFont val="Tahoma"/>
        <family val="2"/>
      </rPr>
      <t xml:space="preserve"> (nella popolazione) di coloro che trovano lavoro in meno di 5 mesi e se ne determini l'intervallo </t>
    </r>
  </si>
  <si>
    <r>
      <t xml:space="preserve">              </t>
    </r>
    <r>
      <rPr>
        <b/>
        <sz val="11"/>
        <rFont val="Tahoma"/>
        <family val="2"/>
      </rPr>
      <t>4)</t>
    </r>
    <r>
      <rPr>
        <sz val="11"/>
        <rFont val="Tahoma"/>
        <family val="2"/>
      </rPr>
      <t xml:space="preserve"> Si verifichi l'ipotesi che la frazione </t>
    </r>
    <r>
      <rPr>
        <i/>
        <sz val="11"/>
        <rFont val="Tahoma"/>
        <family val="2"/>
      </rPr>
      <t>p</t>
    </r>
    <r>
      <rPr>
        <sz val="11"/>
        <rFont val="Tahoma"/>
        <family val="2"/>
      </rPr>
      <t xml:space="preserve"> (nella popolazione) di coloro che trovano lavoro in meno di 5 mesi sia pari a 0,20 contro</t>
    </r>
  </si>
  <si>
    <r>
      <t xml:space="preserve">                  l'alternativa che sia inferiore, al livello </t>
    </r>
    <r>
      <rPr>
        <i/>
        <sz val="11"/>
        <rFont val="Tahoma"/>
        <family val="2"/>
      </rPr>
      <t>α</t>
    </r>
    <r>
      <rPr>
        <sz val="11"/>
        <rFont val="Tahoma"/>
        <family val="2"/>
      </rPr>
      <t xml:space="preserve"> = 0,05. </t>
    </r>
  </si>
  <si>
    <r>
      <t>C)</t>
    </r>
    <r>
      <rPr>
        <sz val="11"/>
        <rFont val="Tahoma"/>
        <family val="2"/>
      </rPr>
      <t xml:space="preserve">  Gli addetti a una linea di produzione in un'industria hanno seguito due distinti corsi di formazione, A e B.</t>
    </r>
  </si>
  <si>
    <r>
      <t xml:space="preserve">              </t>
    </r>
    <r>
      <rPr>
        <b/>
        <sz val="11"/>
        <rFont val="Tahoma"/>
        <family val="2"/>
      </rPr>
      <t>1)</t>
    </r>
    <r>
      <rPr>
        <sz val="11"/>
        <rFont val="Tahoma"/>
        <family val="2"/>
      </rPr>
      <t xml:space="preserve"> Si verifichi l'ipotesi di indipendenza  tra i due caratteri al livello </t>
    </r>
    <r>
      <rPr>
        <i/>
        <sz val="11"/>
        <rFont val="Tahoma"/>
        <family val="2"/>
      </rPr>
      <t>α</t>
    </r>
    <r>
      <rPr>
        <sz val="11"/>
        <rFont val="Tahoma"/>
        <family val="2"/>
      </rPr>
      <t xml:space="preserve"> = 0,05.</t>
    </r>
  </si>
  <si>
    <r>
      <t xml:space="preserve">              </t>
    </r>
    <r>
      <rPr>
        <b/>
        <sz val="11"/>
        <rFont val="Tahoma"/>
        <family val="2"/>
      </rPr>
      <t>2)</t>
    </r>
    <r>
      <rPr>
        <sz val="11"/>
        <rFont val="Tahoma"/>
        <family val="2"/>
      </rPr>
      <t xml:space="preserve"> Si stimi l'errore standard della media campionaria delle percentuali di pezzi difettosi fatti registrare dagli addetti che hanno </t>
    </r>
  </si>
  <si>
    <r>
      <t xml:space="preserve">              </t>
    </r>
    <r>
      <rPr>
        <b/>
        <sz val="11"/>
        <rFont val="Tahoma"/>
        <family val="2"/>
      </rPr>
      <t>3)</t>
    </r>
    <r>
      <rPr>
        <sz val="11"/>
        <rFont val="Tahoma"/>
        <family val="2"/>
      </rPr>
      <t xml:space="preserve"> Si determini l'intervallo fiduciario al 95% per la percentuale media di pezzi difettosi (nella popolazione) di coloro che hanno </t>
    </r>
  </si>
  <si>
    <r>
      <t xml:space="preserve"> - La distribuzione del ritardo è Y  ~ N(6, 2,5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)</t>
    </r>
  </si>
  <si>
    <r>
      <t>μ</t>
    </r>
    <r>
      <rPr>
        <b/>
        <vertAlign val="subscript"/>
        <sz val="11"/>
        <rFont val="Tahoma"/>
        <family val="2"/>
      </rPr>
      <t>x</t>
    </r>
    <r>
      <rPr>
        <b/>
        <sz val="11"/>
        <rFont val="Tahoma"/>
        <family val="2"/>
      </rPr>
      <t xml:space="preserve"> = n·p = </t>
    </r>
  </si>
  <si>
    <r>
      <t>H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>:    μ</t>
    </r>
    <r>
      <rPr>
        <b/>
        <sz val="9.7"/>
        <rFont val="Tahoma"/>
        <family val="2"/>
      </rPr>
      <t xml:space="preserve"> = </t>
    </r>
    <r>
      <rPr>
        <b/>
        <sz val="11"/>
        <rFont val="Tahoma"/>
        <family val="2"/>
      </rPr>
      <t>μ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 </t>
    </r>
  </si>
  <si>
    <r>
      <t xml:space="preserve"> </t>
    </r>
    <r>
      <rPr>
        <b/>
        <sz val="11"/>
        <rFont val="Tahoma"/>
        <family val="2"/>
      </rPr>
      <t>μ</t>
    </r>
    <r>
      <rPr>
        <b/>
        <vertAlign val="subscript"/>
        <sz val="11"/>
        <rFont val="Tahoma"/>
        <family val="2"/>
      </rPr>
      <t xml:space="preserve">0 </t>
    </r>
    <r>
      <rPr>
        <b/>
        <sz val="11"/>
        <rFont val="Tahoma"/>
        <family val="2"/>
      </rPr>
      <t xml:space="preserve">=  </t>
    </r>
  </si>
  <si>
    <r>
      <t xml:space="preserve">z </t>
    </r>
    <r>
      <rPr>
        <b/>
        <vertAlign val="subscript"/>
        <sz val="11"/>
        <rFont val="Tahoma"/>
        <family val="2"/>
      </rPr>
      <t>α</t>
    </r>
    <r>
      <rPr>
        <b/>
        <sz val="11"/>
        <rFont val="Tahoma"/>
        <family val="2"/>
      </rPr>
      <t xml:space="preserve"> = z </t>
    </r>
    <r>
      <rPr>
        <b/>
        <vertAlign val="subscript"/>
        <sz val="11"/>
        <rFont val="Tahoma"/>
        <family val="2"/>
      </rPr>
      <t xml:space="preserve">0,05  </t>
    </r>
    <r>
      <rPr>
        <b/>
        <sz val="11"/>
        <rFont val="Tahoma"/>
        <family val="2"/>
      </rPr>
      <t>=</t>
    </r>
  </si>
  <si>
    <r>
      <t xml:space="preserve">z </t>
    </r>
    <r>
      <rPr>
        <b/>
        <vertAlign val="subscript"/>
        <sz val="11"/>
        <rFont val="Tahoma"/>
        <family val="2"/>
      </rPr>
      <t>α/2</t>
    </r>
    <r>
      <rPr>
        <b/>
        <sz val="11"/>
        <rFont val="Tahoma"/>
        <family val="2"/>
      </rPr>
      <t xml:space="preserve"> = z </t>
    </r>
    <r>
      <rPr>
        <b/>
        <vertAlign val="subscript"/>
        <sz val="11"/>
        <rFont val="Tahoma"/>
        <family val="2"/>
      </rPr>
      <t xml:space="preserve">0,005  </t>
    </r>
    <r>
      <rPr>
        <b/>
        <sz val="11"/>
        <rFont val="Tahoma"/>
        <family val="2"/>
      </rPr>
      <t>=</t>
    </r>
  </si>
  <si>
    <r>
      <t xml:space="preserve">Si verifichi l'ipotesi che la frazione </t>
    </r>
    <r>
      <rPr>
        <i/>
        <sz val="11"/>
        <rFont val="Tahoma"/>
        <family val="2"/>
      </rPr>
      <t>p</t>
    </r>
    <r>
      <rPr>
        <sz val="11"/>
        <rFont val="Tahoma"/>
        <family val="2"/>
      </rPr>
      <t xml:space="preserve"> (nella popolazione) di coloro che trovano lavoro in meno di 5 mesi sia pari a 0,20 contro</t>
    </r>
  </si>
  <si>
    <r>
      <t xml:space="preserve">l'alternativa che sia inferiore, al livello </t>
    </r>
    <r>
      <rPr>
        <i/>
        <sz val="11"/>
        <rFont val="Tahoma"/>
        <family val="2"/>
      </rPr>
      <t>α</t>
    </r>
    <r>
      <rPr>
        <sz val="11"/>
        <rFont val="Tahoma"/>
        <family val="2"/>
      </rPr>
      <t xml:space="preserve"> = 0,05. </t>
    </r>
  </si>
  <si>
    <r>
      <t>TOT (n</t>
    </r>
    <r>
      <rPr>
        <b/>
        <vertAlign val="subscript"/>
        <sz val="11"/>
        <rFont val="Tahoma"/>
        <family val="2"/>
      </rPr>
      <t>i0</t>
    </r>
    <r>
      <rPr>
        <b/>
        <sz val="11"/>
        <rFont val="Tahoma"/>
        <family val="2"/>
      </rPr>
      <t>)</t>
    </r>
  </si>
  <si>
    <r>
      <t>TOT (n</t>
    </r>
    <r>
      <rPr>
        <vertAlign val="subscript"/>
        <sz val="10"/>
        <rFont val="Tahoma"/>
        <family val="2"/>
      </rPr>
      <t>0j</t>
    </r>
    <r>
      <rPr>
        <sz val="10"/>
        <rFont val="Tahoma"/>
        <family val="2"/>
      </rPr>
      <t>)</t>
    </r>
  </si>
  <si>
    <r>
      <t xml:space="preserve">Si verifichi l'ipotesi di indipendenza  tra i due caratteri al livello </t>
    </r>
    <r>
      <rPr>
        <i/>
        <sz val="11"/>
        <rFont val="Tahoma"/>
        <family val="2"/>
      </rPr>
      <t>α</t>
    </r>
    <r>
      <rPr>
        <sz val="11"/>
        <rFont val="Tahoma"/>
        <family val="2"/>
      </rPr>
      <t xml:space="preserve"> = 0,05.</t>
    </r>
  </si>
  <si>
    <r>
      <t>H</t>
    </r>
    <r>
      <rPr>
        <b/>
        <vertAlign val="sub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: µ &gt; μ</t>
    </r>
    <r>
      <rPr>
        <b/>
        <sz val="9.7"/>
        <rFont val="Tahoma"/>
        <family val="2"/>
      </rPr>
      <t>0</t>
    </r>
  </si>
  <si>
    <r>
      <t>H</t>
    </r>
    <r>
      <rPr>
        <b/>
        <vertAlign val="subscript"/>
        <sz val="11"/>
        <rFont val="Tahoma"/>
        <family val="2"/>
      </rPr>
      <t>1</t>
    </r>
    <r>
      <rPr>
        <b/>
        <sz val="11"/>
        <rFont val="Tahoma"/>
        <family val="2"/>
      </rPr>
      <t>:    p</t>
    </r>
    <r>
      <rPr>
        <b/>
        <sz val="11"/>
        <rFont val="Arial"/>
        <family val="2"/>
      </rPr>
      <t xml:space="preserve"> </t>
    </r>
    <r>
      <rPr>
        <b/>
        <sz val="9.7"/>
        <rFont val="Tahoma"/>
        <family val="2"/>
      </rPr>
      <t>&gt;</t>
    </r>
    <r>
      <rPr>
        <b/>
        <sz val="11"/>
        <rFont val="Tahoma"/>
        <family val="2"/>
      </rPr>
      <t xml:space="preserve"> p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 </t>
    </r>
  </si>
  <si>
    <r>
      <t>H</t>
    </r>
    <r>
      <rPr>
        <b/>
        <vertAlign val="subscript"/>
        <sz val="11"/>
        <rFont val="Tahoma"/>
        <family val="2"/>
      </rPr>
      <t>1</t>
    </r>
    <r>
      <rPr>
        <b/>
        <sz val="11"/>
        <rFont val="Tahoma"/>
        <family val="2"/>
      </rPr>
      <t>:    p</t>
    </r>
    <r>
      <rPr>
        <b/>
        <sz val="11"/>
        <rFont val="Arial"/>
        <family val="2"/>
      </rPr>
      <t xml:space="preserve"> &lt;</t>
    </r>
    <r>
      <rPr>
        <b/>
        <sz val="11"/>
        <rFont val="Tahoma"/>
        <family val="2"/>
      </rPr>
      <t xml:space="preserve"> p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 </t>
    </r>
  </si>
  <si>
    <r>
      <t>- z</t>
    </r>
    <r>
      <rPr>
        <b/>
        <vertAlign val="subscript"/>
        <sz val="11"/>
        <rFont val="Tahoma"/>
        <family val="2"/>
      </rPr>
      <t xml:space="preserve">α </t>
    </r>
    <r>
      <rPr>
        <b/>
        <sz val="11"/>
        <rFont val="Tahoma"/>
        <family val="2"/>
      </rPr>
      <t>=</t>
    </r>
  </si>
  <si>
    <r>
      <t xml:space="preserve"> - Poiché la statistica test z =  - 0,699 &gt; - 1,645 = - z</t>
    </r>
    <r>
      <rPr>
        <vertAlign val="subscript"/>
        <sz val="11"/>
        <rFont val="Arial"/>
        <family val="2"/>
      </rPr>
      <t>α</t>
    </r>
  </si>
  <si>
    <t>Si verifichi l'ipotesi che il tempo di attesa medio nella popolazione sia 15 mesi contro l'alternativa che sia superiore (α = 0,05).</t>
  </si>
  <si>
    <r>
      <t xml:space="preserve">Si stimi la frazione </t>
    </r>
    <r>
      <rPr>
        <i/>
        <sz val="11"/>
        <rFont val="Tahoma"/>
        <family val="2"/>
      </rPr>
      <t>p</t>
    </r>
    <r>
      <rPr>
        <sz val="11"/>
        <rFont val="Tahoma"/>
        <family val="2"/>
      </rPr>
      <t xml:space="preserve"> (nella popolazione) di coloro che trovano lavoro in meno di 5 mesi e se ne determini l'intervallo fiduciario al 99%.</t>
    </r>
  </si>
  <si>
    <t>Si stimi l'errore standard della media campionaria delle percentuali di pezzi difettosi fatti registrare dagli addetti che hanno seguito il corso B</t>
  </si>
  <si>
    <t xml:space="preserve"> e se ne indichi il significato.</t>
  </si>
  <si>
    <t>Classi</t>
  </si>
  <si>
    <t xml:space="preserve"> - La statistica test è:</t>
  </si>
  <si>
    <t xml:space="preserve"> - Ricordando la formula dell'errore standard per lo stimatore della media otteniamo:</t>
  </si>
  <si>
    <t xml:space="preserve">      </t>
  </si>
  <si>
    <r>
      <t xml:space="preserve">              </t>
    </r>
    <r>
      <rPr>
        <b/>
        <sz val="11"/>
        <rFont val="Tahoma"/>
        <family val="2"/>
      </rPr>
      <t>2)</t>
    </r>
    <r>
      <rPr>
        <sz val="11"/>
        <rFont val="Tahoma"/>
        <family val="2"/>
      </rPr>
      <t xml:space="preserve"> Si calcoli il livello di significatività osservato per il test di cui al punto precedente.</t>
    </r>
  </si>
  <si>
    <r>
      <t xml:space="preserve">              </t>
    </r>
    <r>
      <rPr>
        <b/>
        <sz val="11"/>
        <rFont val="Tahoma"/>
        <family val="2"/>
      </rPr>
      <t>3)</t>
    </r>
    <r>
      <rPr>
        <sz val="11"/>
        <rFont val="Tahoma"/>
        <family val="2"/>
      </rPr>
      <t xml:space="preserve"> Si costruisca un intervallo di confidenza al livello del 90% per p. </t>
    </r>
  </si>
  <si>
    <r>
      <t xml:space="preserve">              1) </t>
    </r>
    <r>
      <rPr>
        <sz val="11"/>
        <rFont val="Tahoma"/>
        <family val="2"/>
      </rPr>
      <t>Si determini la probabilità che una chiamata arrivi entro 16,47 secondi dalla fine della precedente.</t>
    </r>
  </si>
  <si>
    <t>0-5</t>
  </si>
  <si>
    <t>spesa media in euro</t>
  </si>
  <si>
    <t>COMPAGNIA</t>
  </si>
  <si>
    <t>5-20</t>
  </si>
  <si>
    <t>20-50</t>
  </si>
  <si>
    <t xml:space="preserve"> </t>
  </si>
  <si>
    <r>
      <rPr>
        <b/>
        <sz val="11"/>
        <rFont val="Tahoma"/>
        <family val="2"/>
      </rPr>
      <t xml:space="preserve">3) </t>
    </r>
    <r>
      <rPr>
        <sz val="11"/>
        <rFont val="Tahoma"/>
        <family val="2"/>
      </rPr>
      <t>Si calcoli il livello di significatività per il test di cui al punto precedente.</t>
    </r>
  </si>
  <si>
    <r>
      <t xml:space="preserve">              </t>
    </r>
    <r>
      <rPr>
        <b/>
        <sz val="11"/>
        <rFont val="Tahoma"/>
        <family val="2"/>
      </rPr>
      <t xml:space="preserve">1) </t>
    </r>
    <r>
      <rPr>
        <sz val="11"/>
        <rFont val="Tahoma"/>
        <family val="2"/>
      </rPr>
      <t>Si costruisca un intervallo di confidenza al 95% per la spesa media in servizi e accessori per i clienti della compagnia A</t>
    </r>
  </si>
  <si>
    <r>
      <t xml:space="preserve">              </t>
    </r>
    <r>
      <rPr>
        <b/>
        <sz val="11"/>
        <rFont val="Tahoma"/>
        <family val="2"/>
      </rPr>
      <t xml:space="preserve">2) </t>
    </r>
    <r>
      <rPr>
        <sz val="11"/>
        <rFont val="Tahoma"/>
        <family val="2"/>
      </rPr>
      <t>Si verifichi l'ipotesi che la spesa media per i clienti della compagnia A sia uguale a 12,5 contro l'alternativa che sia inferiore</t>
    </r>
  </si>
  <si>
    <t xml:space="preserve">                  e poi per i clienti della compagnia B.</t>
  </si>
  <si>
    <r>
      <t xml:space="preserve">            </t>
    </r>
    <r>
      <rPr>
        <b/>
        <sz val="11"/>
        <rFont val="Tahoma"/>
        <family val="2"/>
      </rPr>
      <t xml:space="preserve">  4)</t>
    </r>
    <r>
      <rPr>
        <sz val="11"/>
        <rFont val="Tahoma"/>
        <family val="2"/>
      </rPr>
      <t xml:space="preserve"> Si verifichi l'ipotesi che la percentuale di coloro che spendono fino a 20 euro (nel campione complessivo) corrisponda all'85% </t>
    </r>
  </si>
  <si>
    <t>SVOLGIMENTO ESAME DI STATISTICA - MODULO II - 07/01/2009</t>
  </si>
  <si>
    <t xml:space="preserve">P(X &lt; 16,47) = </t>
  </si>
  <si>
    <t>con 50 gradi di libertà  e pertanto</t>
  </si>
  <si>
    <t xml:space="preserve">E(Y) = </t>
  </si>
  <si>
    <t xml:space="preserve">Var(Y) = </t>
  </si>
  <si>
    <t xml:space="preserve">   e varianza 2r, dove r = gradi di libertà della distribuzione. Risulta dunque</t>
  </si>
  <si>
    <t>X ~ N (25, 50)</t>
  </si>
  <si>
    <t xml:space="preserve"> - Otteniamo di conseguenza la distribuzione della media: </t>
  </si>
  <si>
    <t>Xm ~ N (25, 50/100)</t>
  </si>
  <si>
    <t>(l'intervallo è molto ampio)</t>
  </si>
  <si>
    <t>P(22 &lt; Xm &lt; 33) = P(Xm &lt;33) - P(Xm &lt; 22) = 0,99999</t>
  </si>
  <si>
    <t xml:space="preserve"> - La zona di rifiuto del test è data da:</t>
  </si>
  <si>
    <t xml:space="preserve"> e poi per i clienti della compagnia B.</t>
  </si>
  <si>
    <t>quindi l'intervallo di confidenza al 95% per la spesa media in servizi e accessori per i clienti della compagnia A è</t>
  </si>
  <si>
    <t>mentre l'intervallo di confidenza al 95% per la spesa media in servizi e accessori per i clienti della compagnia B è</t>
  </si>
  <si>
    <t xml:space="preserve">                 </t>
  </si>
  <si>
    <r>
      <t>H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>:    μ</t>
    </r>
    <r>
      <rPr>
        <b/>
        <sz val="9.7"/>
        <rFont val="Tahoma"/>
        <family val="2"/>
      </rPr>
      <t xml:space="preserve">= </t>
    </r>
    <r>
      <rPr>
        <b/>
        <sz val="11"/>
        <rFont val="Tahoma"/>
        <family val="2"/>
      </rPr>
      <t>μ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 </t>
    </r>
  </si>
  <si>
    <r>
      <t xml:space="preserve"> μ</t>
    </r>
    <r>
      <rPr>
        <b/>
        <vertAlign val="subscript"/>
        <sz val="11"/>
        <rFont val="Tahoma"/>
        <family val="2"/>
      </rPr>
      <t xml:space="preserve">0 </t>
    </r>
    <r>
      <rPr>
        <b/>
        <sz val="11"/>
        <rFont val="Tahoma"/>
        <family val="2"/>
      </rPr>
      <t xml:space="preserve">=  </t>
    </r>
  </si>
  <si>
    <t xml:space="preserve"> della popolazione</t>
  </si>
  <si>
    <r>
      <t xml:space="preserve">dei clienti contro l'alternativa che sia inferiore al livello </t>
    </r>
    <r>
      <rPr>
        <sz val="14"/>
        <rFont val="Calibri"/>
        <family val="2"/>
      </rPr>
      <t>α</t>
    </r>
    <r>
      <rPr>
        <sz val="11"/>
        <rFont val="Tahoma"/>
        <family val="2"/>
      </rPr>
      <t>=0,01.</t>
    </r>
  </si>
  <si>
    <r>
      <t xml:space="preserve"> - Poiché la statistica test z = -1,386 &gt;- 2,326 =- z</t>
    </r>
    <r>
      <rPr>
        <vertAlign val="subscript"/>
        <sz val="11"/>
        <rFont val="Arial"/>
        <family val="2"/>
      </rPr>
      <t>α</t>
    </r>
  </si>
  <si>
    <r>
      <t xml:space="preserve">A) </t>
    </r>
    <r>
      <rPr>
        <sz val="11"/>
        <rFont val="Tahoma"/>
        <family val="2"/>
      </rPr>
      <t xml:space="preserve">La durata in mesi delle batterie per cellulari prodotte da una determinata azienda può essere dercritta da </t>
    </r>
  </si>
  <si>
    <t xml:space="preserve"> una variabile casuale chi-quadrato con 26 gradi di libertà</t>
  </si>
  <si>
    <r>
      <t xml:space="preserve">B) </t>
    </r>
    <r>
      <rPr>
        <sz val="11"/>
        <rFont val="Tahoma"/>
        <family val="2"/>
      </rPr>
      <t>Nell’ambito di un’indagine di marketing sono stati intervistati 250 individui. Si è riscontrato che nell'ultimo</t>
    </r>
  </si>
  <si>
    <t xml:space="preserve">nell’ultimo mese  il numero medio di prodotti per la pulizia della casa di una data azienda che sono stati </t>
  </si>
  <si>
    <t xml:space="preserve">   acquistati è stato pari a  15,7 con varianza campionaria uguale a 9,32. Inoltre, 183 soggetti tra gli individui </t>
  </si>
  <si>
    <t xml:space="preserve">   intervistati hanno espresso un giudizio positivo riguardo la soddisfazione dei prodotti dell’azienda.</t>
  </si>
  <si>
    <r>
      <t xml:space="preserve">         </t>
    </r>
    <r>
      <rPr>
        <b/>
        <sz val="11"/>
        <rFont val="Tahoma"/>
        <family val="2"/>
      </rPr>
      <t>1)</t>
    </r>
    <r>
      <rPr>
        <sz val="11"/>
        <rFont val="Tahoma"/>
        <family val="2"/>
      </rPr>
      <t xml:space="preserve"> Si costruisca un intervallo di confidenza al 95% per μ, numero medio di prodotti acquistati nella popolazione.</t>
    </r>
  </si>
  <si>
    <r>
      <t xml:space="preserve">            1) </t>
    </r>
    <r>
      <rPr>
        <sz val="11"/>
        <rFont val="Tahoma"/>
        <family val="2"/>
      </rPr>
      <t>Si calcoli il valore atteso e la varianza della variabile casuale che esprime la durata.</t>
    </r>
  </si>
  <si>
    <r>
      <t xml:space="preserve">            2) </t>
    </r>
    <r>
      <rPr>
        <sz val="11"/>
        <rFont val="Tahoma"/>
        <family val="2"/>
      </rPr>
      <t>Si calcoli la probabilità che una batteria sia funzionante per più di 36 mesi.</t>
    </r>
  </si>
  <si>
    <r>
      <t xml:space="preserve">C) </t>
    </r>
    <r>
      <rPr>
        <sz val="11"/>
        <rFont val="Tahoma"/>
        <family val="2"/>
      </rPr>
      <t>La seguente tabella riporta la distribuzione di un campione dilavoratori classificati secondo il metodo e l'impiego:</t>
    </r>
  </si>
  <si>
    <t xml:space="preserve">     </t>
  </si>
  <si>
    <t>reddito</t>
  </si>
  <si>
    <t xml:space="preserve">dipendenti </t>
  </si>
  <si>
    <t>professionisti</t>
  </si>
  <si>
    <t>basso</t>
  </si>
  <si>
    <t>medio</t>
  </si>
  <si>
    <t>alto</t>
  </si>
  <si>
    <r>
      <t xml:space="preserve">         </t>
    </r>
    <r>
      <rPr>
        <b/>
        <sz val="11"/>
        <rFont val="Tahoma"/>
        <family val="2"/>
      </rPr>
      <t xml:space="preserve">3) </t>
    </r>
    <r>
      <rPr>
        <sz val="11"/>
        <rFont val="Tahoma"/>
        <family val="2"/>
      </rPr>
      <t>Si costruisca un intervallo di confidenza al 90% per p (frequenza relativa nella popolazione degli individui</t>
    </r>
  </si>
  <si>
    <r>
      <t xml:space="preserve">         </t>
    </r>
    <r>
      <rPr>
        <b/>
        <sz val="11"/>
        <rFont val="Tahoma"/>
        <family val="2"/>
      </rPr>
      <t>2)</t>
    </r>
    <r>
      <rPr>
        <sz val="11"/>
        <rFont val="Tahoma"/>
        <family val="2"/>
      </rPr>
      <t xml:space="preserve"> Si verifichi l’ipotesi H</t>
    </r>
    <r>
      <rPr>
        <sz val="9"/>
        <rFont val="Tahoma"/>
        <family val="2"/>
      </rPr>
      <t>o</t>
    </r>
    <r>
      <rPr>
        <sz val="11"/>
        <rFont val="Tahoma"/>
        <family val="2"/>
      </rPr>
      <t xml:space="preserve">:μ=15 contro l'ipotesi che sia maggiore al livello </t>
    </r>
    <r>
      <rPr>
        <sz val="11"/>
        <rFont val="Calibri"/>
        <family val="2"/>
      </rPr>
      <t>α</t>
    </r>
    <r>
      <rPr>
        <sz val="11"/>
        <rFont val="Tahoma"/>
        <family val="2"/>
      </rPr>
      <t>=0,01.</t>
    </r>
  </si>
  <si>
    <t xml:space="preserve">  che esprimono soddisfazione riguardo al prodotto).</t>
  </si>
  <si>
    <r>
      <t xml:space="preserve">         </t>
    </r>
    <r>
      <rPr>
        <b/>
        <sz val="11"/>
        <rFont val="Tahoma"/>
        <family val="2"/>
      </rPr>
      <t xml:space="preserve">1) </t>
    </r>
    <r>
      <rPr>
        <sz val="11"/>
        <rFont val="Tahoma"/>
        <family val="2"/>
      </rPr>
      <t xml:space="preserve">Si stimi la proporzione di coloro che hanno un reddito medio-basso tra i liberi professionisti e si verifichi l’ipotesi </t>
    </r>
  </si>
  <si>
    <r>
      <t xml:space="preserve">        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>4)</t>
    </r>
    <r>
      <rPr>
        <sz val="11"/>
        <rFont val="Tahoma"/>
        <family val="2"/>
      </rPr>
      <t xml:space="preserve"> Si verifichi l’ipotesi H</t>
    </r>
    <r>
      <rPr>
        <sz val="8"/>
        <rFont val="Tahoma"/>
        <family val="2"/>
      </rPr>
      <t>o</t>
    </r>
    <r>
      <rPr>
        <sz val="11"/>
        <rFont val="Tahoma"/>
        <family val="2"/>
      </rPr>
      <t>:p=15 contro H</t>
    </r>
    <r>
      <rPr>
        <sz val="8"/>
        <rFont val="Tahoma"/>
        <family val="2"/>
      </rPr>
      <t>1</t>
    </r>
    <r>
      <rPr>
        <sz val="11"/>
        <rFont val="Tahoma"/>
        <family val="2"/>
      </rPr>
      <t>:p</t>
    </r>
    <r>
      <rPr>
        <sz val="11"/>
        <rFont val="Calibri"/>
        <family val="2"/>
      </rPr>
      <t>≠</t>
    </r>
    <r>
      <rPr>
        <sz val="11"/>
        <rFont val="Tahoma"/>
        <family val="2"/>
      </rPr>
      <t>15 (al livello α=0,05) usando il metodo della significatività osservata.</t>
    </r>
  </si>
  <si>
    <r>
      <t xml:space="preserve">             H</t>
    </r>
    <r>
      <rPr>
        <sz val="8"/>
        <rFont val="Tahoma"/>
        <family val="2"/>
      </rPr>
      <t>o</t>
    </r>
    <r>
      <rPr>
        <sz val="11"/>
        <rFont val="Tahoma"/>
        <family val="2"/>
      </rPr>
      <t xml:space="preserve">:p=0,5 contro l'ipotesi che sia maggiore al livello </t>
    </r>
    <r>
      <rPr>
        <sz val="11"/>
        <rFont val="Calibri"/>
        <family val="2"/>
      </rPr>
      <t>α</t>
    </r>
    <r>
      <rPr>
        <sz val="11"/>
        <rFont val="Tahoma"/>
        <family val="2"/>
      </rPr>
      <t>=0,01.</t>
    </r>
  </si>
  <si>
    <r>
      <t xml:space="preserve">         </t>
    </r>
    <r>
      <rPr>
        <b/>
        <sz val="11"/>
        <rFont val="Tahoma"/>
        <family val="2"/>
      </rPr>
      <t xml:space="preserve">2) </t>
    </r>
    <r>
      <rPr>
        <sz val="11"/>
        <rFont val="Tahoma"/>
        <family val="2"/>
      </rPr>
      <t xml:space="preserve"> Si verifichi l'ipotesi di indipendenza tra le due variabili al livello </t>
    </r>
    <r>
      <rPr>
        <sz val="11"/>
        <rFont val="Calibri"/>
        <family val="2"/>
      </rPr>
      <t>α</t>
    </r>
    <r>
      <rPr>
        <sz val="11"/>
        <rFont val="Tahoma"/>
        <family val="2"/>
      </rPr>
      <t>=0,05 .</t>
    </r>
  </si>
  <si>
    <t>SVOLGIMENTO ESAME DI STATISTICA - MODULO II - 07/04/2009</t>
  </si>
  <si>
    <t>P(X&gt;36)=0,1</t>
  </si>
  <si>
    <t xml:space="preserve">Var(Y) </t>
  </si>
  <si>
    <t>= 52</t>
  </si>
  <si>
    <t xml:space="preserve">E(Y) </t>
  </si>
  <si>
    <t>= 26</t>
  </si>
  <si>
    <r>
      <t>(dato che la varianza non è nota dovremmo utilizzare t</t>
    </r>
    <r>
      <rPr>
        <vertAlign val="subscript"/>
        <sz val="11"/>
        <rFont val="Arial"/>
        <family val="2"/>
      </rPr>
      <t>α</t>
    </r>
    <r>
      <rPr>
        <vertAlign val="subscript"/>
        <sz val="11"/>
        <rFont val="Tahoma"/>
        <family val="2"/>
      </rPr>
      <t>/2</t>
    </r>
    <r>
      <rPr>
        <sz val="11"/>
        <rFont val="Tahoma"/>
        <family val="2"/>
      </rPr>
      <t xml:space="preserve"> ma poiché n è grande utilizziamo z</t>
    </r>
    <r>
      <rPr>
        <vertAlign val="subscript"/>
        <sz val="11"/>
        <rFont val="Arial"/>
        <family val="2"/>
      </rPr>
      <t>α</t>
    </r>
    <r>
      <rPr>
        <vertAlign val="subscript"/>
        <sz val="11"/>
        <rFont val="Tahoma"/>
        <family val="2"/>
      </rPr>
      <t>/2</t>
    </r>
    <r>
      <rPr>
        <sz val="11"/>
        <rFont val="Tahoma"/>
        <family val="2"/>
      </rPr>
      <t>)</t>
    </r>
  </si>
  <si>
    <r>
      <t>H</t>
    </r>
    <r>
      <rPr>
        <b/>
        <vertAlign val="subscript"/>
        <sz val="11"/>
        <rFont val="Tahoma"/>
        <family val="2"/>
      </rPr>
      <t>1</t>
    </r>
    <r>
      <rPr>
        <b/>
        <sz val="11"/>
        <rFont val="Tahoma"/>
        <family val="2"/>
      </rPr>
      <t>:    p</t>
    </r>
    <r>
      <rPr>
        <b/>
        <sz val="11"/>
        <rFont val="Arial"/>
        <family val="2"/>
      </rPr>
      <t xml:space="preserve"> </t>
    </r>
    <r>
      <rPr>
        <b/>
        <sz val="11"/>
        <rFont val="Calibri"/>
        <family val="2"/>
      </rPr>
      <t>≠</t>
    </r>
    <r>
      <rPr>
        <b/>
        <sz val="11"/>
        <rFont val="Tahoma"/>
        <family val="2"/>
      </rPr>
      <t xml:space="preserve"> p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 </t>
    </r>
  </si>
  <si>
    <r>
      <t xml:space="preserve">     H</t>
    </r>
    <r>
      <rPr>
        <sz val="8"/>
        <rFont val="Tahoma"/>
        <family val="2"/>
      </rPr>
      <t>o</t>
    </r>
    <r>
      <rPr>
        <sz val="11"/>
        <rFont val="Tahoma"/>
        <family val="2"/>
      </rPr>
      <t xml:space="preserve">:p=0,5 contro l'ipotesi che sia maggiore al livello </t>
    </r>
    <r>
      <rPr>
        <sz val="11"/>
        <rFont val="Calibri"/>
        <family val="2"/>
      </rPr>
      <t>α</t>
    </r>
    <r>
      <rPr>
        <sz val="11"/>
        <rFont val="Tahoma"/>
        <family val="2"/>
      </rPr>
      <t>=0,01.</t>
    </r>
  </si>
  <si>
    <r>
      <t xml:space="preserve">  NON RIFIUTIAMO H</t>
    </r>
    <r>
      <rPr>
        <b/>
        <sz val="8"/>
        <rFont val="Tahoma"/>
        <family val="2"/>
      </rPr>
      <t>O</t>
    </r>
  </si>
  <si>
    <t xml:space="preserve"> RIFIUTIAMO L'IPOTESI NULLA DI INDIPENDENZA</t>
  </si>
  <si>
    <t xml:space="preserve">con </t>
  </si>
  <si>
    <r>
      <t xml:space="preserve">Facoltà di economia </t>
    </r>
    <r>
      <rPr>
        <sz val="16"/>
        <rFont val="Tahoma"/>
        <family val="2"/>
      </rPr>
      <t xml:space="preserve">- Esame di Statistica (Modulo II) 16 Luglio 2008 </t>
    </r>
    <r>
      <rPr>
        <b/>
        <sz val="16"/>
        <rFont val="Tahoma"/>
        <family val="2"/>
      </rPr>
      <t>(testo)</t>
    </r>
  </si>
  <si>
    <r>
      <t xml:space="preserve">Facoltà di economia </t>
    </r>
    <r>
      <rPr>
        <sz val="16"/>
        <rFont val="Tahoma"/>
        <family val="2"/>
      </rPr>
      <t xml:space="preserve">- Esame di statistica (Modulo II) 30 Giugno 2008 </t>
    </r>
    <r>
      <rPr>
        <b/>
        <sz val="16"/>
        <rFont val="Tahoma"/>
        <family val="2"/>
      </rPr>
      <t>(testo)</t>
    </r>
  </si>
  <si>
    <r>
      <t xml:space="preserve">Facoltà di economia </t>
    </r>
    <r>
      <rPr>
        <sz val="16"/>
        <rFont val="Tahoma"/>
        <family val="2"/>
      </rPr>
      <t xml:space="preserve">- Esame di statistica (Modulo II) 7 Aprile 2009 </t>
    </r>
    <r>
      <rPr>
        <b/>
        <sz val="16"/>
        <rFont val="Tahoma"/>
        <family val="2"/>
      </rPr>
      <t>(testo)</t>
    </r>
  </si>
  <si>
    <r>
      <t xml:space="preserve">Si verifichi l'ipotesi che la percorrenza media nella popolazione sia 180 contro l'alternativa che sia superiore (si ponga </t>
    </r>
    <r>
      <rPr>
        <sz val="11"/>
        <rFont val="Calibri"/>
        <family val="2"/>
      </rPr>
      <t>α</t>
    </r>
    <r>
      <rPr>
        <sz val="11"/>
        <rFont val="Tahoma"/>
        <family val="2"/>
      </rPr>
      <t xml:space="preserve"> = 0,01).</t>
    </r>
  </si>
  <si>
    <r>
      <t>NON RIFIUTIAMO L'IPOTESI H</t>
    </r>
    <r>
      <rPr>
        <b/>
        <sz val="9"/>
        <rFont val="Tahoma"/>
        <family val="2"/>
      </rPr>
      <t>o</t>
    </r>
  </si>
  <si>
    <t xml:space="preserve">Poiché Y è somma di due variabili aleatorie chi-quadrato indipendenti ciascuna con 25 gradi di libertà, si ha che Y ha distribuzione chi-quadrato </t>
  </si>
  <si>
    <t xml:space="preserve"> - Applicando il teorema del limite centrale possiamo approssimare la distribuzione chi-quadrato ad una normale con media pari a r</t>
  </si>
  <si>
    <r>
      <t>la probabilità che X</t>
    </r>
    <r>
      <rPr>
        <sz val="10"/>
        <rFont val="Tahoma"/>
        <family val="2"/>
      </rPr>
      <t>m</t>
    </r>
    <r>
      <rPr>
        <sz val="11"/>
        <rFont val="Tahoma"/>
        <family val="2"/>
      </rPr>
      <t xml:space="preserve"> sia minore di a è data da:</t>
    </r>
  </si>
  <si>
    <r>
      <t xml:space="preserve">z </t>
    </r>
    <r>
      <rPr>
        <b/>
        <vertAlign val="subscript"/>
        <sz val="11"/>
        <rFont val="Arial"/>
        <family val="2"/>
      </rPr>
      <t>α</t>
    </r>
    <r>
      <rPr>
        <b/>
        <sz val="9.7"/>
        <rFont val="Tahoma"/>
        <family val="2"/>
      </rPr>
      <t xml:space="preserve"> =</t>
    </r>
  </si>
  <si>
    <r>
      <t xml:space="preserve"> - Poiché la statistica test</t>
    </r>
    <r>
      <rPr>
        <i/>
        <sz val="11"/>
        <rFont val="Tahoma"/>
        <family val="2"/>
      </rPr>
      <t xml:space="preserve"> z</t>
    </r>
    <r>
      <rPr>
        <sz val="11"/>
        <rFont val="Tahoma"/>
        <family val="2"/>
      </rPr>
      <t xml:space="preserve"> = 3,625 &gt; 2,33 = z</t>
    </r>
    <r>
      <rPr>
        <i/>
        <vertAlign val="subscript"/>
        <sz val="11"/>
        <rFont val="Tahoma"/>
        <family val="2"/>
      </rPr>
      <t>0,01</t>
    </r>
    <r>
      <rPr>
        <sz val="11"/>
        <rFont val="Tahoma"/>
        <family val="2"/>
      </rPr>
      <t xml:space="preserve"> </t>
    </r>
  </si>
  <si>
    <r>
      <t>z</t>
    </r>
    <r>
      <rPr>
        <b/>
        <vertAlign val="subscript"/>
        <sz val="11"/>
        <rFont val="Tahoma"/>
        <family val="2"/>
      </rPr>
      <t>0,05</t>
    </r>
    <r>
      <rPr>
        <b/>
        <sz val="11"/>
        <rFont val="Tahoma"/>
        <family val="2"/>
      </rPr>
      <t>=</t>
    </r>
  </si>
  <si>
    <t xml:space="preserve"> -la zona di rifiuto è definita come </t>
  </si>
  <si>
    <t xml:space="preserve"> - poiché risulta </t>
  </si>
  <si>
    <t xml:space="preserve"> Considerando che la statistica test      </t>
  </si>
  <si>
    <t xml:space="preserve"> la cui distribuzione è approssimativamente chi-quadrato con (s-1)(t-1)=2 gradi di libertà si ha che:</t>
  </si>
  <si>
    <r>
      <t xml:space="preserve">Facoltà di economia </t>
    </r>
    <r>
      <rPr>
        <sz val="16"/>
        <rFont val="Tahoma"/>
        <family val="2"/>
      </rPr>
      <t xml:space="preserve">- Esame di statistica (Modulo II) 7 Gennaio 2009 </t>
    </r>
    <r>
      <rPr>
        <b/>
        <sz val="16"/>
        <rFont val="Tahoma"/>
        <family val="2"/>
      </rPr>
      <t>(testo)</t>
    </r>
  </si>
  <si>
    <t xml:space="preserve">1-P(X &gt; 16,47) = </t>
  </si>
  <si>
    <t>Si determini la probabilità che una chiamata arrivi entro 16,47 secondi dalla fine della precedente.</t>
  </si>
  <si>
    <r>
      <t>Si indichi con Y la distribuzione di X</t>
    </r>
    <r>
      <rPr>
        <sz val="9"/>
        <rFont val="Tahoma"/>
        <family val="2"/>
      </rPr>
      <t>1</t>
    </r>
    <r>
      <rPr>
        <sz val="11"/>
        <rFont val="Tahoma"/>
        <family val="2"/>
      </rPr>
      <t>+X</t>
    </r>
    <r>
      <rPr>
        <sz val="9"/>
        <rFont val="Tahoma"/>
        <family val="2"/>
      </rPr>
      <t xml:space="preserve">2 </t>
    </r>
    <r>
      <rPr>
        <sz val="11"/>
        <rFont val="Tahoma"/>
        <family val="2"/>
      </rPr>
      <t>e se ne calcoli media e varianza, dove X</t>
    </r>
    <r>
      <rPr>
        <sz val="9"/>
        <rFont val="Tahoma"/>
        <family val="2"/>
      </rPr>
      <t>1</t>
    </r>
    <r>
      <rPr>
        <sz val="11"/>
        <rFont val="Tahoma"/>
        <family val="2"/>
      </rPr>
      <t xml:space="preserve"> e X</t>
    </r>
    <r>
      <rPr>
        <sz val="9"/>
        <rFont val="Tahoma"/>
        <family val="2"/>
      </rPr>
      <t xml:space="preserve">2  </t>
    </r>
    <r>
      <rPr>
        <sz val="11"/>
        <rFont val="Tahoma"/>
        <family val="2"/>
      </rPr>
      <t>sono i tempi di attesa di due chiamate scelte casualmente</t>
    </r>
  </si>
  <si>
    <t>Si determini la probabilità che in un campione casuale di ampiezza 100, il tempo di attesa medio sia compreso tra   22 e 33 secondi</t>
  </si>
  <si>
    <r>
      <t xml:space="preserve">Si verifichi l'ipotesi che la Ho : p=0,12 contro l'alternativa Ho : p&lt;0,12 al livello </t>
    </r>
    <r>
      <rPr>
        <sz val="11"/>
        <rFont val="Calibri"/>
        <family val="2"/>
      </rPr>
      <t>α=0,05</t>
    </r>
    <r>
      <rPr>
        <sz val="11"/>
        <rFont val="Tahoma"/>
        <family val="2"/>
      </rPr>
      <t>.</t>
    </r>
  </si>
  <si>
    <r>
      <t xml:space="preserve"> - Poiché la statistica test z = -0,5025 &gt;- 1,645 =- z</t>
    </r>
    <r>
      <rPr>
        <vertAlign val="subscript"/>
        <sz val="11"/>
        <rFont val="Arial"/>
        <family val="2"/>
      </rPr>
      <t>α</t>
    </r>
  </si>
  <si>
    <r>
      <t>H</t>
    </r>
    <r>
      <rPr>
        <b/>
        <vertAlign val="sub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:    </t>
    </r>
    <r>
      <rPr>
        <b/>
        <sz val="11"/>
        <rFont val="Arial"/>
        <family val="2"/>
      </rPr>
      <t>μ &lt;</t>
    </r>
    <r>
      <rPr>
        <b/>
        <sz val="11"/>
        <rFont val="Tahoma"/>
        <family val="2"/>
      </rPr>
      <t xml:space="preserve"> </t>
    </r>
    <r>
      <rPr>
        <b/>
        <sz val="11"/>
        <rFont val="Arial"/>
        <family val="2"/>
      </rPr>
      <t>μ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 </t>
    </r>
  </si>
  <si>
    <r>
      <t xml:space="preserve">              </t>
    </r>
    <r>
      <rPr>
        <b/>
        <sz val="11"/>
        <rFont val="Tahoma"/>
        <family val="2"/>
      </rPr>
      <t>1)</t>
    </r>
    <r>
      <rPr>
        <sz val="11"/>
        <rFont val="Tahoma"/>
        <family val="2"/>
      </rPr>
      <t xml:space="preserve"> Si verifichi l'ipotesi che la Ho : p=0,12 contro l'alternativa Ho : p&lt;0,12 al livello </t>
    </r>
    <r>
      <rPr>
        <sz val="11"/>
        <rFont val="Calibri"/>
        <family val="2"/>
      </rPr>
      <t>α=0,05</t>
    </r>
    <r>
      <rPr>
        <sz val="11"/>
        <rFont val="Tahoma"/>
        <family val="2"/>
      </rPr>
      <t>.</t>
    </r>
  </si>
  <si>
    <r>
      <t xml:space="preserve">A) </t>
    </r>
    <r>
      <rPr>
        <sz val="11"/>
        <rFont val="Tahoma"/>
        <family val="2"/>
      </rPr>
      <t>Il tempo di attesa (in secondi) tra la fine di una chiamata a un call-center di una grande compagnia telefonica e l'inizio della successiva ha una</t>
    </r>
  </si>
  <si>
    <r>
      <t xml:space="preserve">    distribuzione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>chi-quadrato con 25 gradi di libertà.</t>
    </r>
  </si>
  <si>
    <r>
      <t xml:space="preserve">              2) </t>
    </r>
    <r>
      <rPr>
        <sz val="11"/>
        <rFont val="Tahoma"/>
        <family val="2"/>
      </rPr>
      <t>Si indichi con Y la distribuzione di X</t>
    </r>
    <r>
      <rPr>
        <sz val="9"/>
        <rFont val="Tahoma"/>
        <family val="2"/>
      </rPr>
      <t>1</t>
    </r>
    <r>
      <rPr>
        <sz val="11"/>
        <rFont val="Tahoma"/>
        <family val="2"/>
      </rPr>
      <t>+X</t>
    </r>
    <r>
      <rPr>
        <sz val="9"/>
        <rFont val="Tahoma"/>
        <family val="2"/>
      </rPr>
      <t xml:space="preserve">2 </t>
    </r>
    <r>
      <rPr>
        <sz val="11"/>
        <rFont val="Tahoma"/>
        <family val="2"/>
      </rPr>
      <t>e se ne calcoli media e varianza, dove X</t>
    </r>
    <r>
      <rPr>
        <sz val="9"/>
        <rFont val="Tahoma"/>
        <family val="2"/>
      </rPr>
      <t>1</t>
    </r>
    <r>
      <rPr>
        <sz val="11"/>
        <rFont val="Tahoma"/>
        <family val="2"/>
      </rPr>
      <t xml:space="preserve"> e X</t>
    </r>
    <r>
      <rPr>
        <sz val="9"/>
        <rFont val="Tahoma"/>
        <family val="2"/>
      </rPr>
      <t xml:space="preserve">2  </t>
    </r>
    <r>
      <rPr>
        <sz val="11"/>
        <rFont val="Tahoma"/>
        <family val="2"/>
      </rPr>
      <t>sono i tempi di attesa di due chiamate scelte</t>
    </r>
  </si>
  <si>
    <t xml:space="preserve">    casualmente.</t>
  </si>
  <si>
    <r>
      <t xml:space="preserve">              3) </t>
    </r>
    <r>
      <rPr>
        <sz val="11"/>
        <rFont val="Tahoma"/>
        <family val="2"/>
      </rPr>
      <t>Si determini la probabilità che in un campione casuale di ampiezza 100, il tempo di attesa medio sia compreso tra 22 e 33 secondi</t>
    </r>
  </si>
  <si>
    <t xml:space="preserve">                  (si applichi il teorema del limite centrale).</t>
  </si>
  <si>
    <r>
      <t xml:space="preserve">B) </t>
    </r>
    <r>
      <rPr>
        <sz val="11"/>
        <rFont val="Tahoma"/>
        <family val="2"/>
      </rPr>
      <t>Si vuole verificare se la frequenza relativa (p) dei consumatori che acquistano un certo prodotto per la pulizia della casa corrisponde al 12%</t>
    </r>
  </si>
  <si>
    <t xml:space="preserve">    dei clienti di un certo ipermercato. Viene quindi estratto un campione casuale di 150 clienti e si osserva che di questi 16 hanno acquistato il </t>
  </si>
  <si>
    <t xml:space="preserve">    prodotto in questione.</t>
  </si>
  <si>
    <r>
      <t xml:space="preserve">C) </t>
    </r>
    <r>
      <rPr>
        <sz val="11"/>
        <rFont val="Tahoma"/>
        <family val="2"/>
      </rPr>
      <t>La seguente tabella riporta la distribuzione di un campione di 200 clienti di due compagnie telefoniche (A e B) secondo la spesa media in servizi</t>
    </r>
  </si>
  <si>
    <t xml:space="preserve">     accessori di telefonia cellulare (in euro):</t>
  </si>
  <si>
    <r>
      <t xml:space="preserve">                  al livello </t>
    </r>
    <r>
      <rPr>
        <sz val="11"/>
        <rFont val="Calibri"/>
        <family val="2"/>
      </rPr>
      <t>α</t>
    </r>
    <r>
      <rPr>
        <sz val="11"/>
        <rFont val="Tahoma"/>
        <family val="2"/>
      </rPr>
      <t>=0,10.</t>
    </r>
  </si>
  <si>
    <r>
      <t xml:space="preserve">    della popolazione dei clienti contro l'alternativa che sia inferiore al livello </t>
    </r>
    <r>
      <rPr>
        <sz val="11"/>
        <rFont val="Calibri"/>
        <family val="2"/>
      </rPr>
      <t>α</t>
    </r>
    <r>
      <rPr>
        <sz val="11"/>
        <rFont val="Tahoma"/>
        <family val="2"/>
      </rPr>
      <t>=0,01.</t>
    </r>
  </si>
  <si>
    <t>(NOTA: il risultato è approssimato.Nelle tavole della chi-quadrato non c'è il valore 36, è stato utilizzato il valore 35,36)</t>
  </si>
  <si>
    <r>
      <t>H</t>
    </r>
    <r>
      <rPr>
        <b/>
        <vertAlign val="sub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: </t>
    </r>
    <r>
      <rPr>
        <b/>
        <sz val="11"/>
        <rFont val="Arial"/>
        <family val="2"/>
      </rPr>
      <t>μ</t>
    </r>
    <r>
      <rPr>
        <b/>
        <sz val="9.7"/>
        <rFont val="Tahoma"/>
        <family val="2"/>
      </rPr>
      <t xml:space="preserve"> &gt; </t>
    </r>
    <r>
      <rPr>
        <b/>
        <sz val="11"/>
        <rFont val="Tahoma"/>
        <family val="2"/>
      </rPr>
      <t>µ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 </t>
    </r>
  </si>
  <si>
    <r>
      <t xml:space="preserve"> - Poiché </t>
    </r>
    <r>
      <rPr>
        <sz val="11"/>
        <rFont val="Calibri"/>
        <family val="2"/>
      </rPr>
      <t xml:space="preserve">α = 0,05 &lt; 0,51 = </t>
    </r>
    <r>
      <rPr>
        <sz val="11"/>
        <rFont val="Arial"/>
        <family val="2"/>
      </rPr>
      <t>α</t>
    </r>
    <r>
      <rPr>
        <vertAlign val="subscript"/>
        <sz val="11"/>
        <rFont val="Calibri"/>
        <family val="0"/>
      </rPr>
      <t>oss</t>
    </r>
    <r>
      <rPr>
        <vertAlign val="subscript"/>
        <sz val="11"/>
        <rFont val="Arial"/>
        <family val="2"/>
      </rPr>
      <t xml:space="preserve"> </t>
    </r>
  </si>
  <si>
    <r>
      <t xml:space="preserve"> - Poiché la statistica test z = 0,338 &lt;2,326 = z</t>
    </r>
    <r>
      <rPr>
        <vertAlign val="subscript"/>
        <sz val="11"/>
        <rFont val="Arial"/>
        <family val="2"/>
      </rPr>
      <t>α</t>
    </r>
  </si>
  <si>
    <r>
      <rPr>
        <sz val="11"/>
        <rFont val="Tahoma"/>
        <family val="2"/>
      </rPr>
      <t>Si calcoli il livello di significatività osservato per il test di cui al punto precedente.</t>
    </r>
  </si>
  <si>
    <r>
      <rPr>
        <sz val="11"/>
        <rFont val="Tahoma"/>
        <family val="2"/>
      </rPr>
      <t xml:space="preserve">Si costruisca l'intervallo fiduciario al 90% per </t>
    </r>
    <r>
      <rPr>
        <i/>
        <sz val="11"/>
        <rFont val="Tahoma"/>
        <family val="2"/>
      </rPr>
      <t>p.</t>
    </r>
  </si>
  <si>
    <r>
      <rPr>
        <sz val="11"/>
        <rFont val="Tahoma"/>
        <family val="2"/>
      </rPr>
      <t>Si costruisca un intervallo di confidenza al 95% per la spesa media in servizi e accessori per i clienti della compagnia A</t>
    </r>
  </si>
  <si>
    <t>Si verifichi l'ipotesi che la spesa media per i clienti della compagnia A sia uguale a 12,5 contro l'alternativa che sia inferiore  al livello α=0,10.</t>
  </si>
  <si>
    <r>
      <rPr>
        <sz val="11"/>
        <rFont val="Tahoma"/>
        <family val="2"/>
      </rPr>
      <t xml:space="preserve">Si verifichi l'ipotesi che la percentuale di coloro che spendono fino a 20 euro (nel campione complessivo) corrisponda all'85% </t>
    </r>
  </si>
  <si>
    <r>
      <rPr>
        <sz val="11"/>
        <rFont val="Tahoma"/>
        <family val="2"/>
      </rPr>
      <t xml:space="preserve">Si costruisca l'intervallo fiduciario al 95% per </t>
    </r>
    <r>
      <rPr>
        <i/>
        <sz val="11"/>
        <rFont val="Tahoma"/>
        <family val="2"/>
      </rPr>
      <t>µ</t>
    </r>
    <r>
      <rPr>
        <sz val="11"/>
        <rFont val="Tahoma"/>
        <family val="2"/>
      </rPr>
      <t xml:space="preserve"> (numero medio di prodotti acquistati nella popolazione).</t>
    </r>
  </si>
  <si>
    <r>
      <rPr>
        <sz val="11"/>
        <rFont val="Tahoma"/>
        <family val="2"/>
      </rPr>
      <t>Si verifichi l’ipotesi H</t>
    </r>
    <r>
      <rPr>
        <sz val="9"/>
        <rFont val="Tahoma"/>
        <family val="2"/>
      </rPr>
      <t>o</t>
    </r>
    <r>
      <rPr>
        <sz val="11"/>
        <rFont val="Tahoma"/>
        <family val="2"/>
      </rPr>
      <t xml:space="preserve">:μ=15 contro l'ipotesi che sia maggiore al livello </t>
    </r>
    <r>
      <rPr>
        <sz val="11"/>
        <rFont val="Calibri"/>
        <family val="2"/>
      </rPr>
      <t>α</t>
    </r>
    <r>
      <rPr>
        <sz val="11"/>
        <rFont val="Tahoma"/>
        <family val="2"/>
      </rPr>
      <t>=0,01.</t>
    </r>
  </si>
  <si>
    <r>
      <rPr>
        <sz val="11"/>
        <rFont val="Tahoma"/>
        <family val="2"/>
      </rPr>
      <t xml:space="preserve">Si verifichi l'ipotesi </t>
    </r>
    <r>
      <rPr>
        <i/>
        <sz val="11"/>
        <rFont val="Tahoma"/>
        <family val="2"/>
      </rPr>
      <t>H</t>
    </r>
    <r>
      <rPr>
        <i/>
        <vertAlign val="subscript"/>
        <sz val="11"/>
        <rFont val="Tahoma"/>
        <family val="2"/>
      </rPr>
      <t>0</t>
    </r>
    <r>
      <rPr>
        <i/>
        <sz val="11"/>
        <rFont val="Tahoma"/>
        <family val="2"/>
      </rPr>
      <t>: p =</t>
    </r>
    <r>
      <rPr>
        <sz val="11"/>
        <rFont val="Tahoma"/>
        <family val="2"/>
      </rPr>
      <t xml:space="preserve"> 0,75</t>
    </r>
    <r>
      <rPr>
        <i/>
        <sz val="11"/>
        <rFont val="Tahoma"/>
        <family val="2"/>
      </rPr>
      <t xml:space="preserve"> </t>
    </r>
    <r>
      <rPr>
        <sz val="11"/>
        <rFont val="Tahoma"/>
        <family val="2"/>
      </rPr>
      <t>contro</t>
    </r>
    <r>
      <rPr>
        <i/>
        <sz val="11"/>
        <rFont val="Tahoma"/>
        <family val="2"/>
      </rPr>
      <t xml:space="preserve"> H</t>
    </r>
    <r>
      <rPr>
        <i/>
        <vertAlign val="subscript"/>
        <sz val="11"/>
        <rFont val="Tahoma"/>
        <family val="2"/>
      </rPr>
      <t xml:space="preserve">1 </t>
    </r>
    <r>
      <rPr>
        <sz val="11"/>
        <rFont val="Tahoma"/>
        <family val="2"/>
      </rPr>
      <t xml:space="preserve">: </t>
    </r>
    <r>
      <rPr>
        <i/>
        <sz val="11"/>
        <rFont val="Tahoma"/>
        <family val="2"/>
      </rPr>
      <t xml:space="preserve">p </t>
    </r>
    <r>
      <rPr>
        <sz val="11"/>
        <rFont val="Calibri"/>
        <family val="2"/>
      </rPr>
      <t>≠</t>
    </r>
    <r>
      <rPr>
        <i/>
        <sz val="11"/>
        <rFont val="Tahoma"/>
        <family val="2"/>
      </rPr>
      <t>0,75</t>
    </r>
    <r>
      <rPr>
        <sz val="11"/>
        <rFont val="Tahoma"/>
        <family val="2"/>
      </rPr>
      <t xml:space="preserve"> al livello</t>
    </r>
    <r>
      <rPr>
        <i/>
        <sz val="11"/>
        <rFont val="Tahoma"/>
        <family val="2"/>
      </rPr>
      <t xml:space="preserve"> </t>
    </r>
    <r>
      <rPr>
        <sz val="11"/>
        <rFont val="Calibri"/>
        <family val="2"/>
      </rPr>
      <t>α</t>
    </r>
    <r>
      <rPr>
        <i/>
        <sz val="11"/>
        <rFont val="Tahoma"/>
        <family val="2"/>
      </rPr>
      <t>=</t>
    </r>
    <r>
      <rPr>
        <sz val="11"/>
        <rFont val="Tahoma"/>
        <family val="2"/>
      </rPr>
      <t>0,05 col metodo della significatività osservata</t>
    </r>
  </si>
  <si>
    <t xml:space="preserve">Si stimi la proporzione di coloro che hanno un reddito medio-basso tra i liberi professionisti e si verifichi l’ipotesi </t>
  </si>
  <si>
    <r>
      <rPr>
        <sz val="11"/>
        <rFont val="Tahoma"/>
        <family val="2"/>
      </rPr>
      <t xml:space="preserve">Si verifichi l'ipotesi di indipendenza tra le due variabili al livello </t>
    </r>
    <r>
      <rPr>
        <sz val="11"/>
        <rFont val="Calibri"/>
        <family val="2"/>
      </rPr>
      <t>α</t>
    </r>
    <r>
      <rPr>
        <sz val="11"/>
        <rFont val="Tahoma"/>
        <family val="2"/>
      </rPr>
      <t>=0,05 .</t>
    </r>
  </si>
  <si>
    <t>Si calcoli il valore atteso e la varianza della variabile casuale</t>
  </si>
  <si>
    <t>Si calcoli la probabilità che una batteria sia funzionante per più di 36 mesi.</t>
  </si>
  <si>
    <r>
      <t>x</t>
    </r>
    <r>
      <rPr>
        <sz val="8"/>
        <rFont val="Tahoma"/>
        <family val="2"/>
      </rPr>
      <t>m</t>
    </r>
    <r>
      <rPr>
        <sz val="11"/>
        <rFont val="Tahoma"/>
        <family val="2"/>
      </rPr>
      <t>(A)=</t>
    </r>
  </si>
  <si>
    <r>
      <t>x</t>
    </r>
    <r>
      <rPr>
        <sz val="8"/>
        <rFont val="Tahoma"/>
        <family val="2"/>
      </rPr>
      <t>m</t>
    </r>
    <r>
      <rPr>
        <sz val="11"/>
        <rFont val="Tahoma"/>
        <family val="2"/>
      </rPr>
      <t>(B)=</t>
    </r>
  </si>
  <si>
    <t>s²(A)=</t>
  </si>
  <si>
    <t>s²(B)=</t>
  </si>
  <si>
    <r>
      <t xml:space="preserve"> [L</t>
    </r>
    <r>
      <rPr>
        <b/>
        <sz val="9"/>
        <rFont val="Tahoma"/>
        <family val="2"/>
      </rPr>
      <t>1</t>
    </r>
    <r>
      <rPr>
        <b/>
        <sz val="12"/>
        <rFont val="Tahoma"/>
        <family val="2"/>
      </rPr>
      <t>(A),L</t>
    </r>
    <r>
      <rPr>
        <b/>
        <sz val="9"/>
        <rFont val="Tahoma"/>
        <family val="2"/>
      </rPr>
      <t>2</t>
    </r>
    <r>
      <rPr>
        <b/>
        <sz val="12"/>
        <rFont val="Tahoma"/>
        <family val="2"/>
      </rPr>
      <t>(A)]=[10,18; 14,98]</t>
    </r>
  </si>
  <si>
    <r>
      <t xml:space="preserve"> [L</t>
    </r>
    <r>
      <rPr>
        <b/>
        <sz val="9"/>
        <rFont val="Tahoma"/>
        <family val="2"/>
      </rPr>
      <t>1</t>
    </r>
    <r>
      <rPr>
        <b/>
        <sz val="12"/>
        <rFont val="Tahoma"/>
        <family val="2"/>
      </rPr>
      <t>(B),L</t>
    </r>
    <r>
      <rPr>
        <b/>
        <sz val="9"/>
        <rFont val="Tahoma"/>
        <family val="2"/>
      </rPr>
      <t>2</t>
    </r>
    <r>
      <rPr>
        <b/>
        <sz val="12"/>
        <rFont val="Tahoma"/>
        <family val="2"/>
      </rPr>
      <t>(B)]=[8,84; 13,37]</t>
    </r>
  </si>
  <si>
    <r>
      <t xml:space="preserve"> - Poiché la statistica test z = 0,068 &gt;- 1,282 =- z</t>
    </r>
    <r>
      <rPr>
        <vertAlign val="subscript"/>
        <sz val="11"/>
        <rFont val="Arial"/>
        <family val="2"/>
      </rPr>
      <t>α</t>
    </r>
  </si>
  <si>
    <r>
      <t xml:space="preserve">t </t>
    </r>
    <r>
      <rPr>
        <b/>
        <i/>
        <vertAlign val="subscript"/>
        <sz val="11"/>
        <rFont val="Arial"/>
        <family val="2"/>
      </rPr>
      <t>α</t>
    </r>
    <r>
      <rPr>
        <b/>
        <i/>
        <vertAlign val="subscript"/>
        <sz val="9.7"/>
        <rFont val="Tahoma"/>
        <family val="2"/>
      </rPr>
      <t xml:space="preserve">/2 </t>
    </r>
    <r>
      <rPr>
        <b/>
        <i/>
        <sz val="9.7"/>
        <rFont val="Tahoma"/>
        <family val="2"/>
      </rPr>
      <t xml:space="preserve">= t </t>
    </r>
    <r>
      <rPr>
        <b/>
        <i/>
        <vertAlign val="subscript"/>
        <sz val="9.7"/>
        <rFont val="Tahoma"/>
        <family val="2"/>
      </rPr>
      <t>0,025</t>
    </r>
    <r>
      <rPr>
        <b/>
        <i/>
        <sz val="9.7"/>
        <rFont val="Tahoma"/>
        <family val="2"/>
      </rPr>
      <t xml:space="preserve"> =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</si>
</sst>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0.0"/>
    <numFmt numFmtId="194" formatCode="0.0000000000"/>
    <numFmt numFmtId="195" formatCode="0.00000000000"/>
    <numFmt numFmtId="196" formatCode="0.000000000"/>
    <numFmt numFmtId="197" formatCode="[$€-2]\ #.##000_);[Red]\([$€-2]\ #.##000\)"/>
  </numFmts>
  <fonts count="7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i/>
      <vertAlign val="subscript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1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i/>
      <sz val="11"/>
      <name val="Tahoma"/>
      <family val="2"/>
    </font>
    <font>
      <b/>
      <i/>
      <vertAlign val="subscript"/>
      <sz val="11"/>
      <name val="Tahoma"/>
      <family val="2"/>
    </font>
    <font>
      <b/>
      <i/>
      <vertAlign val="superscript"/>
      <sz val="11"/>
      <name val="Tahoma"/>
      <family val="2"/>
    </font>
    <font>
      <vertAlign val="subscript"/>
      <sz val="11"/>
      <name val="Tahoma"/>
      <family val="2"/>
    </font>
    <font>
      <i/>
      <vertAlign val="subscript"/>
      <sz val="11"/>
      <name val="Tahoma"/>
      <family val="2"/>
    </font>
    <font>
      <b/>
      <vertAlign val="subscript"/>
      <sz val="11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u val="single"/>
      <sz val="12"/>
      <name val="Tahoma"/>
      <family val="2"/>
    </font>
    <font>
      <sz val="11"/>
      <color indexed="8"/>
      <name val="Tahoma"/>
      <family val="2"/>
    </font>
    <font>
      <b/>
      <u val="single"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0"/>
      <name val="Tahoma"/>
      <family val="2"/>
    </font>
    <font>
      <vertAlign val="superscript"/>
      <sz val="11"/>
      <name val="Tahoma"/>
      <family val="2"/>
    </font>
    <font>
      <sz val="12"/>
      <name val="Tahoma"/>
      <family val="2"/>
    </font>
    <font>
      <b/>
      <vertAlign val="superscript"/>
      <sz val="11"/>
      <name val="Tahoma"/>
      <family val="2"/>
    </font>
    <font>
      <b/>
      <sz val="9.7"/>
      <name val="Tahoma"/>
      <family val="2"/>
    </font>
    <font>
      <b/>
      <i/>
      <vertAlign val="subscript"/>
      <sz val="9.7"/>
      <name val="Tahoma"/>
      <family val="2"/>
    </font>
    <font>
      <b/>
      <i/>
      <sz val="9.7"/>
      <name val="Tahoma"/>
      <family val="2"/>
    </font>
    <font>
      <b/>
      <vertAlign val="subscript"/>
      <sz val="9.7"/>
      <name val="Tahoma"/>
      <family val="2"/>
    </font>
    <font>
      <i/>
      <vertAlign val="superscript"/>
      <sz val="11"/>
      <name val="Tahoma"/>
      <family val="2"/>
    </font>
    <font>
      <b/>
      <vertAlign val="subscript"/>
      <sz val="11"/>
      <color indexed="8"/>
      <name val="Tahoma"/>
      <family val="2"/>
    </font>
    <font>
      <b/>
      <i/>
      <sz val="11"/>
      <color indexed="8"/>
      <name val="Tahoma"/>
      <family val="2"/>
    </font>
    <font>
      <b/>
      <i/>
      <vertAlign val="subscript"/>
      <sz val="11"/>
      <color indexed="8"/>
      <name val="Tahoma"/>
      <family val="2"/>
    </font>
    <font>
      <b/>
      <vertAlign val="superscript"/>
      <sz val="11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vertAlign val="superscript"/>
      <sz val="10"/>
      <name val="Tahoma"/>
      <family val="2"/>
    </font>
    <font>
      <b/>
      <sz val="12"/>
      <color indexed="8"/>
      <name val="Tahoma"/>
      <family val="2"/>
    </font>
    <font>
      <vertAlign val="subscript"/>
      <sz val="10"/>
      <name val="Tahoma"/>
      <family val="2"/>
    </font>
    <font>
      <sz val="12"/>
      <color indexed="8"/>
      <name val="Tahoma"/>
      <family val="2"/>
    </font>
    <font>
      <i/>
      <sz val="12"/>
      <color indexed="8"/>
      <name val="Tahoma"/>
      <family val="2"/>
    </font>
    <font>
      <sz val="12"/>
      <color indexed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vertAlign val="subscript"/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6" borderId="1" applyNumberFormat="0" applyAlignment="0" applyProtection="0"/>
    <xf numFmtId="0" fontId="56" fillId="0" borderId="2" applyNumberFormat="0" applyFill="0" applyAlignment="0" applyProtection="0"/>
    <xf numFmtId="0" fontId="57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1" borderId="0" applyNumberFormat="0" applyBorder="0" applyAlignment="0" applyProtection="0"/>
    <xf numFmtId="0" fontId="5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2" borderId="0" applyNumberFormat="0" applyBorder="0" applyAlignment="0" applyProtection="0"/>
    <xf numFmtId="0" fontId="0" fillId="23" borderId="4" applyNumberFormat="0" applyFont="0" applyAlignment="0" applyProtection="0"/>
    <xf numFmtId="0" fontId="60" fillId="16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" borderId="0" applyNumberFormat="0" applyBorder="0" applyAlignment="0" applyProtection="0"/>
    <xf numFmtId="0" fontId="6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left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/>
    </xf>
    <xf numFmtId="0" fontId="10" fillId="24" borderId="0" xfId="0" applyFont="1" applyFill="1" applyAlignment="1">
      <alignment/>
    </xf>
    <xf numFmtId="0" fontId="8" fillId="4" borderId="0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24" borderId="11" xfId="0" applyFont="1" applyFill="1" applyBorder="1" applyAlignment="1">
      <alignment/>
    </xf>
    <xf numFmtId="0" fontId="10" fillId="24" borderId="15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24" borderId="18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4" borderId="0" xfId="0" applyFont="1" applyFill="1" applyAlignment="1">
      <alignment/>
    </xf>
    <xf numFmtId="0" fontId="10" fillId="4" borderId="12" xfId="0" applyFont="1" applyFill="1" applyBorder="1" applyAlignment="1">
      <alignment horizontal="center"/>
    </xf>
    <xf numFmtId="0" fontId="10" fillId="4" borderId="11" xfId="0" applyFont="1" applyFill="1" applyBorder="1" applyAlignment="1">
      <alignment/>
    </xf>
    <xf numFmtId="0" fontId="10" fillId="4" borderId="15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 vertic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 horizontal="left"/>
    </xf>
    <xf numFmtId="0" fontId="10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21" fillId="24" borderId="0" xfId="0" applyFont="1" applyFill="1" applyAlignment="1">
      <alignment/>
    </xf>
    <xf numFmtId="0" fontId="21" fillId="4" borderId="0" xfId="0" applyFont="1" applyFill="1" applyAlignment="1">
      <alignment/>
    </xf>
    <xf numFmtId="0" fontId="22" fillId="4" borderId="0" xfId="0" applyFont="1" applyFill="1" applyAlignment="1">
      <alignment horizontal="left"/>
    </xf>
    <xf numFmtId="0" fontId="23" fillId="4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0" fillId="4" borderId="0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9" fillId="4" borderId="2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89" fontId="10" fillId="0" borderId="28" xfId="0" applyNumberFormat="1" applyFont="1" applyBorder="1" applyAlignment="1">
      <alignment horizontal="center"/>
    </xf>
    <xf numFmtId="189" fontId="10" fillId="0" borderId="23" xfId="0" applyNumberFormat="1" applyFont="1" applyBorder="1" applyAlignment="1">
      <alignment horizontal="center"/>
    </xf>
    <xf numFmtId="189" fontId="10" fillId="0" borderId="29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2" fontId="9" fillId="0" borderId="0" xfId="0" applyNumberFormat="1" applyFont="1" applyAlignment="1">
      <alignment vertical="center"/>
    </xf>
    <xf numFmtId="0" fontId="10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9" fontId="9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left"/>
    </xf>
    <xf numFmtId="189" fontId="9" fillId="0" borderId="0" xfId="0" applyNumberFormat="1" applyFont="1" applyFill="1" applyAlignment="1">
      <alignment horizontal="left"/>
    </xf>
    <xf numFmtId="0" fontId="9" fillId="4" borderId="21" xfId="0" applyFont="1" applyFill="1" applyBorder="1" applyAlignment="1">
      <alignment horizontal="right"/>
    </xf>
    <xf numFmtId="189" fontId="9" fillId="4" borderId="30" xfId="0" applyNumberFormat="1" applyFont="1" applyFill="1" applyBorder="1" applyAlignment="1">
      <alignment horizontal="left"/>
    </xf>
    <xf numFmtId="0" fontId="9" fillId="4" borderId="12" xfId="0" applyFont="1" applyFill="1" applyBorder="1" applyAlignment="1">
      <alignment horizontal="right"/>
    </xf>
    <xf numFmtId="2" fontId="9" fillId="4" borderId="31" xfId="0" applyNumberFormat="1" applyFont="1" applyFill="1" applyBorder="1" applyAlignment="1">
      <alignment horizontal="left"/>
    </xf>
    <xf numFmtId="0" fontId="9" fillId="4" borderId="18" xfId="0" applyFont="1" applyFill="1" applyBorder="1" applyAlignment="1">
      <alignment horizontal="right"/>
    </xf>
    <xf numFmtId="2" fontId="9" fillId="4" borderId="32" xfId="0" applyNumberFormat="1" applyFont="1" applyFill="1" applyBorder="1" applyAlignment="1">
      <alignment horizontal="left"/>
    </xf>
    <xf numFmtId="0" fontId="9" fillId="4" borderId="21" xfId="0" applyFont="1" applyFill="1" applyBorder="1" applyAlignment="1">
      <alignment horizontal="left"/>
    </xf>
    <xf numFmtId="0" fontId="9" fillId="4" borderId="33" xfId="0" applyFont="1" applyFill="1" applyBorder="1" applyAlignment="1">
      <alignment horizontal="left"/>
    </xf>
    <xf numFmtId="0" fontId="9" fillId="4" borderId="33" xfId="0" applyFont="1" applyFill="1" applyBorder="1" applyAlignment="1" quotePrefix="1">
      <alignment horizontal="left"/>
    </xf>
    <xf numFmtId="0" fontId="9" fillId="4" borderId="30" xfId="0" applyFont="1" applyFill="1" applyBorder="1" applyAlignment="1">
      <alignment horizontal="left"/>
    </xf>
    <xf numFmtId="0" fontId="24" fillId="4" borderId="21" xfId="0" applyFont="1" applyFill="1" applyBorder="1" applyAlignment="1">
      <alignment/>
    </xf>
    <xf numFmtId="0" fontId="24" fillId="4" borderId="3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89" fontId="9" fillId="4" borderId="31" xfId="0" applyNumberFormat="1" applyFont="1" applyFill="1" applyBorder="1" applyAlignment="1">
      <alignment horizontal="left"/>
    </xf>
    <xf numFmtId="189" fontId="9" fillId="4" borderId="32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9" fillId="4" borderId="29" xfId="0" applyFont="1" applyFill="1" applyBorder="1" applyAlignment="1">
      <alignment horizontal="center" vertical="center" wrapText="1"/>
    </xf>
    <xf numFmtId="189" fontId="10" fillId="0" borderId="34" xfId="0" applyNumberFormat="1" applyFont="1" applyBorder="1" applyAlignment="1">
      <alignment/>
    </xf>
    <xf numFmtId="189" fontId="10" fillId="0" borderId="35" xfId="0" applyNumberFormat="1" applyFont="1" applyBorder="1" applyAlignment="1">
      <alignment/>
    </xf>
    <xf numFmtId="189" fontId="10" fillId="0" borderId="36" xfId="0" applyNumberFormat="1" applyFont="1" applyBorder="1" applyAlignment="1">
      <alignment/>
    </xf>
    <xf numFmtId="0" fontId="10" fillId="4" borderId="37" xfId="0" applyFont="1" applyFill="1" applyBorder="1" applyAlignment="1">
      <alignment/>
    </xf>
    <xf numFmtId="0" fontId="10" fillId="4" borderId="38" xfId="0" applyFont="1" applyFill="1" applyBorder="1" applyAlignment="1">
      <alignment/>
    </xf>
    <xf numFmtId="0" fontId="10" fillId="4" borderId="39" xfId="0" applyFont="1" applyFill="1" applyBorder="1" applyAlignment="1">
      <alignment/>
    </xf>
    <xf numFmtId="0" fontId="10" fillId="4" borderId="40" xfId="0" applyFont="1" applyFill="1" applyBorder="1" applyAlignment="1">
      <alignment/>
    </xf>
    <xf numFmtId="0" fontId="9" fillId="4" borderId="28" xfId="0" applyFont="1" applyFill="1" applyBorder="1" applyAlignment="1">
      <alignment horizontal="center" vertical="center" wrapText="1"/>
    </xf>
    <xf numFmtId="189" fontId="10" fillId="0" borderId="41" xfId="0" applyNumberFormat="1" applyFont="1" applyBorder="1" applyAlignment="1">
      <alignment/>
    </xf>
    <xf numFmtId="189" fontId="10" fillId="0" borderId="42" xfId="0" applyNumberFormat="1" applyFont="1" applyBorder="1" applyAlignment="1">
      <alignment/>
    </xf>
    <xf numFmtId="189" fontId="10" fillId="0" borderId="43" xfId="0" applyNumberFormat="1" applyFont="1" applyBorder="1" applyAlignment="1">
      <alignment/>
    </xf>
    <xf numFmtId="0" fontId="10" fillId="4" borderId="44" xfId="0" applyFont="1" applyFill="1" applyBorder="1" applyAlignment="1">
      <alignment/>
    </xf>
    <xf numFmtId="0" fontId="10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189" fontId="10" fillId="4" borderId="44" xfId="0" applyNumberFormat="1" applyFont="1" applyFill="1" applyBorder="1" applyAlignment="1">
      <alignment/>
    </xf>
    <xf numFmtId="189" fontId="10" fillId="4" borderId="38" xfId="0" applyNumberFormat="1" applyFont="1" applyFill="1" applyBorder="1" applyAlignment="1">
      <alignment/>
    </xf>
    <xf numFmtId="189" fontId="9" fillId="4" borderId="11" xfId="0" applyNumberFormat="1" applyFont="1" applyFill="1" applyBorder="1" applyAlignment="1">
      <alignment/>
    </xf>
    <xf numFmtId="0" fontId="10" fillId="0" borderId="20" xfId="0" applyFont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9" fillId="24" borderId="25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24" borderId="47" xfId="0" applyFont="1" applyFill="1" applyBorder="1" applyAlignment="1">
      <alignment horizontal="center"/>
    </xf>
    <xf numFmtId="0" fontId="9" fillId="24" borderId="48" xfId="0" applyFont="1" applyFill="1" applyBorder="1" applyAlignment="1">
      <alignment horizontal="center"/>
    </xf>
    <xf numFmtId="0" fontId="9" fillId="24" borderId="4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89" fontId="10" fillId="0" borderId="0" xfId="0" applyNumberFormat="1" applyFont="1" applyAlignment="1">
      <alignment/>
    </xf>
    <xf numFmtId="0" fontId="10" fillId="0" borderId="0" xfId="0" applyFont="1" applyAlignment="1" quotePrefix="1">
      <alignment horizontal="right"/>
    </xf>
    <xf numFmtId="188" fontId="9" fillId="0" borderId="0" xfId="0" applyNumberFormat="1" applyFont="1" applyAlignment="1">
      <alignment horizontal="left"/>
    </xf>
    <xf numFmtId="189" fontId="9" fillId="0" borderId="0" xfId="0" applyNumberFormat="1" applyFont="1" applyBorder="1" applyAlignment="1">
      <alignment horizontal="left"/>
    </xf>
    <xf numFmtId="0" fontId="9" fillId="4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9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0" xfId="0" applyFont="1" applyFill="1" applyAlignment="1">
      <alignment vertical="center"/>
    </xf>
    <xf numFmtId="0" fontId="9" fillId="4" borderId="47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34" fillId="4" borderId="48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 wrapText="1"/>
    </xf>
    <xf numFmtId="2" fontId="23" fillId="4" borderId="44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vertical="center" wrapText="1"/>
    </xf>
    <xf numFmtId="0" fontId="9" fillId="4" borderId="55" xfId="0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1" fontId="21" fillId="0" borderId="51" xfId="0" applyNumberFormat="1" applyFont="1" applyFill="1" applyBorder="1" applyAlignment="1">
      <alignment horizontal="center"/>
    </xf>
    <xf numFmtId="2" fontId="21" fillId="0" borderId="51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23" fillId="4" borderId="47" xfId="0" applyNumberFormat="1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/>
    </xf>
    <xf numFmtId="1" fontId="21" fillId="0" borderId="22" xfId="0" applyNumberFormat="1" applyFont="1" applyFill="1" applyBorder="1" applyAlignment="1">
      <alignment horizontal="center"/>
    </xf>
    <xf numFmtId="2" fontId="21" fillId="0" borderId="22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2" fontId="21" fillId="0" borderId="17" xfId="0" applyNumberFormat="1" applyFont="1" applyFill="1" applyBorder="1" applyAlignment="1">
      <alignment horizontal="center"/>
    </xf>
    <xf numFmtId="0" fontId="21" fillId="0" borderId="19" xfId="0" applyNumberFormat="1" applyFont="1" applyFill="1" applyBorder="1" applyAlignment="1">
      <alignment horizontal="center"/>
    </xf>
    <xf numFmtId="1" fontId="21" fillId="0" borderId="23" xfId="0" applyNumberFormat="1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89" fontId="9" fillId="4" borderId="11" xfId="0" applyNumberFormat="1" applyFont="1" applyFill="1" applyBorder="1" applyAlignment="1">
      <alignment horizontal="left"/>
    </xf>
    <xf numFmtId="189" fontId="9" fillId="4" borderId="11" xfId="0" applyNumberFormat="1" applyFont="1" applyFill="1" applyBorder="1" applyAlignment="1">
      <alignment horizontal="left" vertical="center"/>
    </xf>
    <xf numFmtId="1" fontId="23" fillId="4" borderId="47" xfId="0" applyNumberFormat="1" applyFont="1" applyFill="1" applyBorder="1" applyAlignment="1">
      <alignment horizontal="center"/>
    </xf>
    <xf numFmtId="1" fontId="23" fillId="4" borderId="49" xfId="0" applyNumberFormat="1" applyFont="1" applyFill="1" applyBorder="1" applyAlignment="1">
      <alignment horizontal="center"/>
    </xf>
    <xf numFmtId="2" fontId="23" fillId="4" borderId="11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2" fontId="10" fillId="0" borderId="57" xfId="0" applyNumberFormat="1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10" fillId="4" borderId="38" xfId="0" applyNumberFormat="1" applyFont="1" applyFill="1" applyBorder="1" applyAlignment="1">
      <alignment/>
    </xf>
    <xf numFmtId="0" fontId="9" fillId="4" borderId="58" xfId="0" applyFont="1" applyFill="1" applyBorder="1" applyAlignment="1">
      <alignment horizontal="center"/>
    </xf>
    <xf numFmtId="2" fontId="10" fillId="0" borderId="53" xfId="0" applyNumberFormat="1" applyFont="1" applyBorder="1" applyAlignment="1">
      <alignment horizontal="center"/>
    </xf>
    <xf numFmtId="2" fontId="10" fillId="0" borderId="54" xfId="0" applyNumberFormat="1" applyFont="1" applyBorder="1" applyAlignment="1">
      <alignment horizontal="center"/>
    </xf>
    <xf numFmtId="2" fontId="10" fillId="0" borderId="36" xfId="0" applyNumberFormat="1" applyFont="1" applyBorder="1" applyAlignment="1">
      <alignment horizontal="center"/>
    </xf>
    <xf numFmtId="2" fontId="10" fillId="4" borderId="40" xfId="0" applyNumberFormat="1" applyFont="1" applyFill="1" applyBorder="1" applyAlignment="1">
      <alignment/>
    </xf>
    <xf numFmtId="2" fontId="10" fillId="4" borderId="47" xfId="0" applyNumberFormat="1" applyFont="1" applyFill="1" applyBorder="1" applyAlignment="1">
      <alignment horizontal="center"/>
    </xf>
    <xf numFmtId="2" fontId="10" fillId="4" borderId="48" xfId="0" applyNumberFormat="1" applyFont="1" applyFill="1" applyBorder="1" applyAlignment="1">
      <alignment horizontal="center"/>
    </xf>
    <xf numFmtId="2" fontId="10" fillId="4" borderId="37" xfId="0" applyNumberFormat="1" applyFont="1" applyFill="1" applyBorder="1" applyAlignment="1">
      <alignment horizontal="center"/>
    </xf>
    <xf numFmtId="2" fontId="10" fillId="4" borderId="11" xfId="0" applyNumberFormat="1" applyFont="1" applyFill="1" applyBorder="1" applyAlignment="1">
      <alignment/>
    </xf>
    <xf numFmtId="2" fontId="9" fillId="4" borderId="11" xfId="0" applyNumberFormat="1" applyFont="1" applyFill="1" applyBorder="1" applyAlignment="1">
      <alignment/>
    </xf>
    <xf numFmtId="2" fontId="9" fillId="4" borderId="0" xfId="0" applyNumberFormat="1" applyFont="1" applyFill="1" applyBorder="1" applyAlignment="1">
      <alignment/>
    </xf>
    <xf numFmtId="187" fontId="9" fillId="4" borderId="1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38" fillId="24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37" fillId="24" borderId="0" xfId="0" applyFont="1" applyFill="1" applyAlignment="1">
      <alignment/>
    </xf>
    <xf numFmtId="0" fontId="37" fillId="0" borderId="0" xfId="0" applyFont="1" applyAlignment="1">
      <alignment/>
    </xf>
    <xf numFmtId="0" fontId="24" fillId="0" borderId="0" xfId="0" applyFont="1" applyAlignment="1">
      <alignment/>
    </xf>
    <xf numFmtId="0" fontId="24" fillId="24" borderId="19" xfId="0" applyFont="1" applyFill="1" applyBorder="1" applyAlignment="1">
      <alignment horizontal="center"/>
    </xf>
    <xf numFmtId="49" fontId="24" fillId="24" borderId="23" xfId="0" applyNumberFormat="1" applyFont="1" applyFill="1" applyBorder="1" applyAlignment="1">
      <alignment horizontal="center"/>
    </xf>
    <xf numFmtId="49" fontId="24" fillId="24" borderId="20" xfId="0" applyNumberFormat="1" applyFont="1" applyFill="1" applyBorder="1" applyAlignment="1">
      <alignment horizontal="center"/>
    </xf>
    <xf numFmtId="0" fontId="24" fillId="24" borderId="39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24" fillId="24" borderId="26" xfId="0" applyFont="1" applyFill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0" xfId="0" applyFont="1" applyFill="1" applyAlignment="1">
      <alignment/>
    </xf>
    <xf numFmtId="0" fontId="38" fillId="4" borderId="0" xfId="0" applyFont="1" applyFill="1" applyAlignment="1">
      <alignment/>
    </xf>
    <xf numFmtId="0" fontId="37" fillId="0" borderId="0" xfId="0" applyFont="1" applyAlignment="1">
      <alignment horizontal="center"/>
    </xf>
    <xf numFmtId="0" fontId="37" fillId="4" borderId="0" xfId="0" applyFont="1" applyFill="1" applyAlignment="1">
      <alignment/>
    </xf>
    <xf numFmtId="2" fontId="9" fillId="0" borderId="0" xfId="0" applyNumberFormat="1" applyFont="1" applyBorder="1" applyAlignment="1">
      <alignment horizontal="right"/>
    </xf>
    <xf numFmtId="189" fontId="24" fillId="0" borderId="0" xfId="0" applyNumberFormat="1" applyFont="1" applyAlignment="1">
      <alignment horizontal="left"/>
    </xf>
    <xf numFmtId="188" fontId="9" fillId="4" borderId="30" xfId="0" applyNumberFormat="1" applyFont="1" applyFill="1" applyBorder="1" applyAlignment="1">
      <alignment horizontal="left"/>
    </xf>
    <xf numFmtId="0" fontId="37" fillId="0" borderId="0" xfId="0" applyFont="1" applyAlignment="1">
      <alignment horizontal="right"/>
    </xf>
    <xf numFmtId="0" fontId="40" fillId="4" borderId="0" xfId="0" applyFont="1" applyFill="1" applyAlignment="1">
      <alignment horizontal="center"/>
    </xf>
    <xf numFmtId="0" fontId="10" fillId="4" borderId="11" xfId="0" applyFont="1" applyFill="1" applyBorder="1" applyAlignment="1">
      <alignment horizontal="left"/>
    </xf>
    <xf numFmtId="2" fontId="42" fillId="0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left"/>
    </xf>
    <xf numFmtId="2" fontId="42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/>
    </xf>
    <xf numFmtId="2" fontId="23" fillId="4" borderId="0" xfId="0" applyNumberFormat="1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189" fontId="9" fillId="0" borderId="0" xfId="0" applyNumberFormat="1" applyFont="1" applyAlignment="1">
      <alignment horizontal="left" vertical="center"/>
    </xf>
    <xf numFmtId="0" fontId="9" fillId="0" borderId="0" xfId="0" applyFont="1" applyBorder="1" applyAlignment="1" quotePrefix="1">
      <alignment horizontal="right"/>
    </xf>
    <xf numFmtId="0" fontId="10" fillId="4" borderId="26" xfId="0" applyFont="1" applyFill="1" applyBorder="1" applyAlignment="1">
      <alignment horizontal="left"/>
    </xf>
    <xf numFmtId="0" fontId="37" fillId="4" borderId="47" xfId="0" applyFont="1" applyFill="1" applyBorder="1" applyAlignment="1">
      <alignment horizontal="center"/>
    </xf>
    <xf numFmtId="0" fontId="37" fillId="4" borderId="48" xfId="0" applyFont="1" applyFill="1" applyBorder="1" applyAlignment="1">
      <alignment horizontal="center"/>
    </xf>
    <xf numFmtId="0" fontId="37" fillId="4" borderId="49" xfId="0" applyFont="1" applyFill="1" applyBorder="1" applyAlignment="1">
      <alignment horizontal="center"/>
    </xf>
    <xf numFmtId="0" fontId="37" fillId="4" borderId="50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left"/>
    </xf>
    <xf numFmtId="0" fontId="37" fillId="4" borderId="52" xfId="0" applyFont="1" applyFill="1" applyBorder="1" applyAlignment="1">
      <alignment horizontal="center"/>
    </xf>
    <xf numFmtId="0" fontId="24" fillId="4" borderId="53" xfId="0" applyFont="1" applyFill="1" applyBorder="1" applyAlignment="1">
      <alignment horizontal="center"/>
    </xf>
    <xf numFmtId="49" fontId="24" fillId="4" borderId="54" xfId="0" applyNumberFormat="1" applyFont="1" applyFill="1" applyBorder="1" applyAlignment="1">
      <alignment horizontal="center"/>
    </xf>
    <xf numFmtId="49" fontId="24" fillId="4" borderId="59" xfId="0" applyNumberFormat="1" applyFont="1" applyFill="1" applyBorder="1" applyAlignment="1">
      <alignment horizontal="center"/>
    </xf>
    <xf numFmtId="189" fontId="37" fillId="0" borderId="13" xfId="0" applyNumberFormat="1" applyFont="1" applyBorder="1" applyAlignment="1">
      <alignment horizontal="center"/>
    </xf>
    <xf numFmtId="189" fontId="37" fillId="0" borderId="22" xfId="0" applyNumberFormat="1" applyFont="1" applyBorder="1" applyAlignment="1">
      <alignment horizontal="center"/>
    </xf>
    <xf numFmtId="189" fontId="37" fillId="0" borderId="14" xfId="0" applyNumberFormat="1" applyFont="1" applyBorder="1" applyAlignment="1">
      <alignment horizontal="center"/>
    </xf>
    <xf numFmtId="189" fontId="37" fillId="0" borderId="19" xfId="0" applyNumberFormat="1" applyFont="1" applyBorder="1" applyAlignment="1">
      <alignment horizontal="center"/>
    </xf>
    <xf numFmtId="189" fontId="37" fillId="0" borderId="23" xfId="0" applyNumberFormat="1" applyFont="1" applyBorder="1" applyAlignment="1">
      <alignment horizontal="center"/>
    </xf>
    <xf numFmtId="189" fontId="37" fillId="0" borderId="20" xfId="0" applyNumberFormat="1" applyFont="1" applyBorder="1" applyAlignment="1">
      <alignment horizontal="center"/>
    </xf>
    <xf numFmtId="189" fontId="37" fillId="4" borderId="60" xfId="0" applyNumberFormat="1" applyFont="1" applyFill="1" applyBorder="1" applyAlignment="1">
      <alignment horizontal="center"/>
    </xf>
    <xf numFmtId="189" fontId="37" fillId="4" borderId="61" xfId="0" applyNumberFormat="1" applyFont="1" applyFill="1" applyBorder="1" applyAlignment="1">
      <alignment horizontal="center"/>
    </xf>
    <xf numFmtId="189" fontId="37" fillId="4" borderId="62" xfId="0" applyNumberFormat="1" applyFont="1" applyFill="1" applyBorder="1" applyAlignment="1">
      <alignment horizontal="center"/>
    </xf>
    <xf numFmtId="189" fontId="10" fillId="4" borderId="63" xfId="0" applyNumberFormat="1" applyFont="1" applyFill="1" applyBorder="1" applyAlignment="1">
      <alignment horizontal="center"/>
    </xf>
    <xf numFmtId="189" fontId="10" fillId="4" borderId="64" xfId="0" applyNumberFormat="1" applyFont="1" applyFill="1" applyBorder="1" applyAlignment="1">
      <alignment horizontal="center"/>
    </xf>
    <xf numFmtId="189" fontId="10" fillId="4" borderId="11" xfId="0" applyNumberFormat="1" applyFont="1" applyFill="1" applyBorder="1" applyAlignment="1">
      <alignment horizontal="center"/>
    </xf>
    <xf numFmtId="189" fontId="9" fillId="4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189" fontId="10" fillId="0" borderId="0" xfId="0" applyNumberFormat="1" applyFont="1" applyFill="1" applyBorder="1" applyAlignment="1">
      <alignment horizontal="left"/>
    </xf>
    <xf numFmtId="0" fontId="24" fillId="0" borderId="0" xfId="0" applyFont="1" applyAlignment="1">
      <alignment horizontal="left"/>
    </xf>
    <xf numFmtId="189" fontId="24" fillId="4" borderId="11" xfId="0" applyNumberFormat="1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left"/>
    </xf>
    <xf numFmtId="0" fontId="24" fillId="4" borderId="10" xfId="0" applyFont="1" applyFill="1" applyBorder="1" applyAlignment="1">
      <alignment horizontal="center"/>
    </xf>
    <xf numFmtId="0" fontId="24" fillId="4" borderId="39" xfId="0" applyFont="1" applyFill="1" applyBorder="1" applyAlignment="1">
      <alignment horizontal="center"/>
    </xf>
    <xf numFmtId="49" fontId="24" fillId="4" borderId="39" xfId="0" applyNumberFormat="1" applyFont="1" applyFill="1" applyBorder="1" applyAlignment="1">
      <alignment horizontal="center"/>
    </xf>
    <xf numFmtId="49" fontId="24" fillId="4" borderId="26" xfId="0" applyNumberFormat="1" applyFont="1" applyFill="1" applyBorder="1" applyAlignment="1">
      <alignment horizontal="center"/>
    </xf>
    <xf numFmtId="189" fontId="37" fillId="0" borderId="17" xfId="0" applyNumberFormat="1" applyFont="1" applyBorder="1" applyAlignment="1">
      <alignment horizontal="center"/>
    </xf>
    <xf numFmtId="189" fontId="24" fillId="4" borderId="11" xfId="0" applyNumberFormat="1" applyFont="1" applyFill="1" applyBorder="1" applyAlignment="1">
      <alignment horizontal="center"/>
    </xf>
    <xf numFmtId="2" fontId="23" fillId="4" borderId="30" xfId="0" applyNumberFormat="1" applyFont="1" applyFill="1" applyBorder="1" applyAlignment="1">
      <alignment horizontal="center"/>
    </xf>
    <xf numFmtId="189" fontId="24" fillId="4" borderId="31" xfId="0" applyNumberFormat="1" applyFont="1" applyFill="1" applyBorder="1" applyAlignment="1">
      <alignment horizontal="left"/>
    </xf>
    <xf numFmtId="189" fontId="24" fillId="4" borderId="32" xfId="0" applyNumberFormat="1" applyFont="1" applyFill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37" fillId="25" borderId="19" xfId="0" applyFont="1" applyFill="1" applyBorder="1" applyAlignment="1">
      <alignment horizontal="center"/>
    </xf>
    <xf numFmtId="0" fontId="9" fillId="4" borderId="31" xfId="0" applyNumberFormat="1" applyFont="1" applyFill="1" applyBorder="1" applyAlignment="1">
      <alignment horizontal="left"/>
    </xf>
    <xf numFmtId="0" fontId="9" fillId="4" borderId="32" xfId="0" applyNumberFormat="1" applyFont="1" applyFill="1" applyBorder="1" applyAlignment="1">
      <alignment horizontal="left"/>
    </xf>
    <xf numFmtId="0" fontId="47" fillId="0" borderId="0" xfId="0" applyFont="1" applyAlignment="1">
      <alignment/>
    </xf>
    <xf numFmtId="0" fontId="9" fillId="4" borderId="11" xfId="0" applyNumberFormat="1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horizontal="center"/>
    </xf>
    <xf numFmtId="0" fontId="37" fillId="25" borderId="22" xfId="0" applyFont="1" applyFill="1" applyBorder="1" applyAlignment="1">
      <alignment horizontal="center"/>
    </xf>
    <xf numFmtId="0" fontId="37" fillId="25" borderId="14" xfId="0" applyFont="1" applyFill="1" applyBorder="1" applyAlignment="1">
      <alignment horizontal="center"/>
    </xf>
    <xf numFmtId="0" fontId="37" fillId="25" borderId="23" xfId="0" applyFont="1" applyFill="1" applyBorder="1" applyAlignment="1">
      <alignment horizontal="center"/>
    </xf>
    <xf numFmtId="0" fontId="37" fillId="25" borderId="20" xfId="0" applyFont="1" applyFill="1" applyBorder="1" applyAlignment="1">
      <alignment horizontal="center"/>
    </xf>
    <xf numFmtId="0" fontId="10" fillId="25" borderId="0" xfId="0" applyFont="1" applyFill="1" applyAlignment="1">
      <alignment horizontal="left"/>
    </xf>
    <xf numFmtId="0" fontId="10" fillId="25" borderId="0" xfId="0" applyFont="1" applyFill="1" applyAlignment="1">
      <alignment/>
    </xf>
    <xf numFmtId="0" fontId="9" fillId="4" borderId="32" xfId="0" applyNumberFormat="1" applyFont="1" applyFill="1" applyBorder="1" applyAlignment="1" quotePrefix="1">
      <alignment horizontal="left"/>
    </xf>
    <xf numFmtId="0" fontId="9" fillId="4" borderId="31" xfId="0" applyNumberFormat="1" applyFont="1" applyFill="1" applyBorder="1" applyAlignment="1" quotePrefix="1">
      <alignment horizontal="left"/>
    </xf>
    <xf numFmtId="0" fontId="24" fillId="4" borderId="39" xfId="0" applyFont="1" applyFill="1" applyBorder="1" applyAlignment="1">
      <alignment horizontal="center"/>
    </xf>
    <xf numFmtId="0" fontId="24" fillId="4" borderId="26" xfId="0" applyFont="1" applyFill="1" applyBorder="1" applyAlignment="1">
      <alignment horizontal="center"/>
    </xf>
    <xf numFmtId="0" fontId="24" fillId="4" borderId="19" xfId="0" applyFont="1" applyFill="1" applyBorder="1" applyAlignment="1">
      <alignment horizontal="center"/>
    </xf>
    <xf numFmtId="49" fontId="24" fillId="4" borderId="23" xfId="0" applyNumberFormat="1" applyFont="1" applyFill="1" applyBorder="1" applyAlignment="1">
      <alignment horizontal="center"/>
    </xf>
    <xf numFmtId="49" fontId="24" fillId="4" borderId="20" xfId="0" applyNumberFormat="1" applyFont="1" applyFill="1" applyBorder="1" applyAlignment="1">
      <alignment horizontal="center"/>
    </xf>
    <xf numFmtId="0" fontId="51" fillId="4" borderId="21" xfId="0" applyFont="1" applyFill="1" applyBorder="1" applyAlignment="1">
      <alignment horizontal="left"/>
    </xf>
    <xf numFmtId="0" fontId="10" fillId="0" borderId="0" xfId="0" applyFont="1" applyAlignment="1">
      <alignment horizontal="right" vertical="center"/>
    </xf>
    <xf numFmtId="188" fontId="9" fillId="0" borderId="0" xfId="0" applyNumberFormat="1" applyFont="1" applyAlignment="1">
      <alignment horizontal="left" vertical="center"/>
    </xf>
    <xf numFmtId="188" fontId="9" fillId="4" borderId="11" xfId="0" applyNumberFormat="1" applyFont="1" applyFill="1" applyBorder="1" applyAlignment="1">
      <alignment horizontal="left" vertical="center"/>
    </xf>
    <xf numFmtId="189" fontId="9" fillId="0" borderId="0" xfId="0" applyNumberFormat="1" applyFont="1" applyAlignment="1">
      <alignment horizontal="right"/>
    </xf>
    <xf numFmtId="188" fontId="9" fillId="0" borderId="0" xfId="0" applyNumberFormat="1" applyFont="1" applyAlignment="1">
      <alignment horizontal="right"/>
    </xf>
    <xf numFmtId="0" fontId="24" fillId="4" borderId="19" xfId="0" applyFont="1" applyFill="1" applyBorder="1" applyAlignment="1">
      <alignment horizontal="center"/>
    </xf>
    <xf numFmtId="49" fontId="24" fillId="4" borderId="23" xfId="0" applyNumberFormat="1" applyFont="1" applyFill="1" applyBorder="1" applyAlignment="1">
      <alignment horizontal="center"/>
    </xf>
    <xf numFmtId="49" fontId="24" fillId="4" borderId="20" xfId="0" applyNumberFormat="1" applyFont="1" applyFill="1" applyBorder="1" applyAlignment="1">
      <alignment horizontal="center"/>
    </xf>
    <xf numFmtId="0" fontId="24" fillId="4" borderId="26" xfId="0" applyFont="1" applyFill="1" applyBorder="1" applyAlignment="1">
      <alignment horizontal="center"/>
    </xf>
    <xf numFmtId="0" fontId="24" fillId="4" borderId="47" xfId="0" applyFont="1" applyFill="1" applyBorder="1" applyAlignment="1">
      <alignment horizontal="center"/>
    </xf>
    <xf numFmtId="0" fontId="24" fillId="4" borderId="48" xfId="0" applyFont="1" applyFill="1" applyBorder="1" applyAlignment="1">
      <alignment horizontal="center"/>
    </xf>
    <xf numFmtId="0" fontId="24" fillId="4" borderId="49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9" fillId="24" borderId="3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24" borderId="25" xfId="0" applyFont="1" applyFill="1" applyBorder="1" applyAlignment="1">
      <alignment horizontal="center" vertical="center" wrapText="1"/>
    </xf>
    <xf numFmtId="0" fontId="9" fillId="24" borderId="39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65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/>
    </xf>
    <xf numFmtId="0" fontId="9" fillId="24" borderId="65" xfId="0" applyFont="1" applyFill="1" applyBorder="1" applyAlignment="1">
      <alignment horizontal="center"/>
    </xf>
    <xf numFmtId="0" fontId="9" fillId="24" borderId="31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4" borderId="10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0" fontId="9" fillId="4" borderId="65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24" borderId="10" xfId="0" applyFont="1" applyFill="1" applyBorder="1" applyAlignment="1">
      <alignment horizontal="center" vertical="center" wrapText="1"/>
    </xf>
    <xf numFmtId="0" fontId="9" fillId="24" borderId="67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/>
    </xf>
    <xf numFmtId="0" fontId="9" fillId="24" borderId="3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67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65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10" fillId="0" borderId="0" xfId="0" applyFont="1" applyAlignment="1" quotePrefix="1">
      <alignment horizontal="left"/>
    </xf>
    <xf numFmtId="0" fontId="9" fillId="4" borderId="12" xfId="0" applyFont="1" applyFill="1" applyBorder="1" applyAlignment="1">
      <alignment horizontal="center" vertical="center" wrapText="1"/>
    </xf>
    <xf numFmtId="0" fontId="9" fillId="4" borderId="65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4" borderId="39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33.emf" /><Relationship Id="rId3" Type="http://schemas.openxmlformats.org/officeDocument/2006/relationships/image" Target="../media/image32.emf" /><Relationship Id="rId4" Type="http://schemas.openxmlformats.org/officeDocument/2006/relationships/image" Target="../media/image7.emf" /><Relationship Id="rId5" Type="http://schemas.openxmlformats.org/officeDocument/2006/relationships/image" Target="../media/image15.emf" /><Relationship Id="rId6" Type="http://schemas.openxmlformats.org/officeDocument/2006/relationships/image" Target="../media/image61.emf" /><Relationship Id="rId7" Type="http://schemas.openxmlformats.org/officeDocument/2006/relationships/image" Target="../media/image36.emf" /><Relationship Id="rId8" Type="http://schemas.openxmlformats.org/officeDocument/2006/relationships/image" Target="../media/image53.emf" /><Relationship Id="rId9" Type="http://schemas.openxmlformats.org/officeDocument/2006/relationships/image" Target="../media/image9.emf" /><Relationship Id="rId10" Type="http://schemas.openxmlformats.org/officeDocument/2006/relationships/image" Target="../media/image2.emf" /><Relationship Id="rId11" Type="http://schemas.openxmlformats.org/officeDocument/2006/relationships/image" Target="../media/image30.emf" /><Relationship Id="rId12" Type="http://schemas.openxmlformats.org/officeDocument/2006/relationships/image" Target="../media/image35.emf" /><Relationship Id="rId13" Type="http://schemas.openxmlformats.org/officeDocument/2006/relationships/image" Target="../media/image24.emf" /><Relationship Id="rId14" Type="http://schemas.openxmlformats.org/officeDocument/2006/relationships/image" Target="../media/image14.emf" /><Relationship Id="rId15" Type="http://schemas.openxmlformats.org/officeDocument/2006/relationships/image" Target="../media/image29.emf" /><Relationship Id="rId16" Type="http://schemas.openxmlformats.org/officeDocument/2006/relationships/image" Target="../media/image10.emf" /><Relationship Id="rId17" Type="http://schemas.openxmlformats.org/officeDocument/2006/relationships/image" Target="../media/image37.emf" /><Relationship Id="rId18" Type="http://schemas.openxmlformats.org/officeDocument/2006/relationships/image" Target="../media/image22.emf" /><Relationship Id="rId19" Type="http://schemas.openxmlformats.org/officeDocument/2006/relationships/image" Target="../media/image21.emf" /><Relationship Id="rId20" Type="http://schemas.openxmlformats.org/officeDocument/2006/relationships/image" Target="../media/image18.emf" /><Relationship Id="rId21" Type="http://schemas.openxmlformats.org/officeDocument/2006/relationships/image" Target="../media/image38.emf" /><Relationship Id="rId22" Type="http://schemas.openxmlformats.org/officeDocument/2006/relationships/image" Target="../media/image45.emf" /><Relationship Id="rId23" Type="http://schemas.openxmlformats.org/officeDocument/2006/relationships/image" Target="../media/image4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8.emf" /><Relationship Id="rId7" Type="http://schemas.openxmlformats.org/officeDocument/2006/relationships/image" Target="../media/image7.emf" /><Relationship Id="rId8" Type="http://schemas.openxmlformats.org/officeDocument/2006/relationships/image" Target="../media/image15.emf" /><Relationship Id="rId9" Type="http://schemas.openxmlformats.org/officeDocument/2006/relationships/image" Target="../media/image13.emf" /><Relationship Id="rId10" Type="http://schemas.openxmlformats.org/officeDocument/2006/relationships/image" Target="../media/image34.emf" /><Relationship Id="rId11" Type="http://schemas.openxmlformats.org/officeDocument/2006/relationships/image" Target="../media/image68.emf" /><Relationship Id="rId12" Type="http://schemas.openxmlformats.org/officeDocument/2006/relationships/image" Target="../media/image18.emf" /><Relationship Id="rId13" Type="http://schemas.openxmlformats.org/officeDocument/2006/relationships/image" Target="../media/image12.emf" /><Relationship Id="rId14" Type="http://schemas.openxmlformats.org/officeDocument/2006/relationships/image" Target="../media/image17.emf" /><Relationship Id="rId15" Type="http://schemas.openxmlformats.org/officeDocument/2006/relationships/image" Target="../media/image4.emf" /><Relationship Id="rId16" Type="http://schemas.openxmlformats.org/officeDocument/2006/relationships/image" Target="../media/image22.emf" /><Relationship Id="rId17" Type="http://schemas.openxmlformats.org/officeDocument/2006/relationships/image" Target="../media/image23.emf" /><Relationship Id="rId18" Type="http://schemas.openxmlformats.org/officeDocument/2006/relationships/image" Target="../media/image21.emf" /><Relationship Id="rId19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44.emf" /><Relationship Id="rId3" Type="http://schemas.openxmlformats.org/officeDocument/2006/relationships/image" Target="../media/image7.emf" /><Relationship Id="rId4" Type="http://schemas.openxmlformats.org/officeDocument/2006/relationships/image" Target="../media/image51.emf" /><Relationship Id="rId5" Type="http://schemas.openxmlformats.org/officeDocument/2006/relationships/image" Target="../media/image40.emf" /><Relationship Id="rId6" Type="http://schemas.openxmlformats.org/officeDocument/2006/relationships/image" Target="../media/image42.emf" /><Relationship Id="rId7" Type="http://schemas.openxmlformats.org/officeDocument/2006/relationships/image" Target="../media/image20.emf" /><Relationship Id="rId8" Type="http://schemas.openxmlformats.org/officeDocument/2006/relationships/image" Target="../media/image39.emf" /><Relationship Id="rId9" Type="http://schemas.openxmlformats.org/officeDocument/2006/relationships/image" Target="../media/image43.emf" /><Relationship Id="rId10" Type="http://schemas.openxmlformats.org/officeDocument/2006/relationships/image" Target="../media/image31.emf" /><Relationship Id="rId11" Type="http://schemas.openxmlformats.org/officeDocument/2006/relationships/image" Target="../media/image26.emf" /><Relationship Id="rId12" Type="http://schemas.openxmlformats.org/officeDocument/2006/relationships/image" Target="../media/image10.emf" /><Relationship Id="rId13" Type="http://schemas.openxmlformats.org/officeDocument/2006/relationships/image" Target="../media/image47.emf" /><Relationship Id="rId14" Type="http://schemas.openxmlformats.org/officeDocument/2006/relationships/image" Target="../media/image22.emf" /><Relationship Id="rId15" Type="http://schemas.openxmlformats.org/officeDocument/2006/relationships/image" Target="../media/image21.emf" /><Relationship Id="rId16" Type="http://schemas.openxmlformats.org/officeDocument/2006/relationships/image" Target="../media/image18.emf" /><Relationship Id="rId17" Type="http://schemas.openxmlformats.org/officeDocument/2006/relationships/image" Target="../media/image48.emf" /><Relationship Id="rId18" Type="http://schemas.openxmlformats.org/officeDocument/2006/relationships/image" Target="../media/image46.emf" /><Relationship Id="rId19" Type="http://schemas.openxmlformats.org/officeDocument/2006/relationships/image" Target="../media/image45.emf" /><Relationship Id="rId20" Type="http://schemas.openxmlformats.org/officeDocument/2006/relationships/image" Target="../media/image4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17.emf" /><Relationship Id="rId3" Type="http://schemas.openxmlformats.org/officeDocument/2006/relationships/image" Target="../media/image19.emf" /><Relationship Id="rId4" Type="http://schemas.openxmlformats.org/officeDocument/2006/relationships/image" Target="../media/image52.emf" /><Relationship Id="rId5" Type="http://schemas.openxmlformats.org/officeDocument/2006/relationships/image" Target="../media/image49.emf" /><Relationship Id="rId6" Type="http://schemas.openxmlformats.org/officeDocument/2006/relationships/image" Target="../media/image75.emf" /><Relationship Id="rId7" Type="http://schemas.openxmlformats.org/officeDocument/2006/relationships/image" Target="../media/image41.emf" /><Relationship Id="rId8" Type="http://schemas.openxmlformats.org/officeDocument/2006/relationships/image" Target="../media/image55.emf" /><Relationship Id="rId9" Type="http://schemas.openxmlformats.org/officeDocument/2006/relationships/image" Target="../media/image56.emf" /><Relationship Id="rId10" Type="http://schemas.openxmlformats.org/officeDocument/2006/relationships/image" Target="../media/image69.emf" /><Relationship Id="rId11" Type="http://schemas.openxmlformats.org/officeDocument/2006/relationships/image" Target="../media/image78.emf" /><Relationship Id="rId12" Type="http://schemas.openxmlformats.org/officeDocument/2006/relationships/image" Target="../media/image72.emf" /><Relationship Id="rId13" Type="http://schemas.openxmlformats.org/officeDocument/2006/relationships/image" Target="../media/image73.emf" /><Relationship Id="rId14" Type="http://schemas.openxmlformats.org/officeDocument/2006/relationships/image" Target="../media/image67.emf" /><Relationship Id="rId15" Type="http://schemas.openxmlformats.org/officeDocument/2006/relationships/image" Target="../media/image76.emf" /><Relationship Id="rId16" Type="http://schemas.openxmlformats.org/officeDocument/2006/relationships/image" Target="../media/image58.emf" /><Relationship Id="rId17" Type="http://schemas.openxmlformats.org/officeDocument/2006/relationships/image" Target="../media/image58.emf" /><Relationship Id="rId18" Type="http://schemas.openxmlformats.org/officeDocument/2006/relationships/image" Target="../media/image58.emf" /><Relationship Id="rId19" Type="http://schemas.openxmlformats.org/officeDocument/2006/relationships/image" Target="../media/image5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3.emf" /><Relationship Id="rId2" Type="http://schemas.openxmlformats.org/officeDocument/2006/relationships/image" Target="../media/image57.emf" /><Relationship Id="rId3" Type="http://schemas.openxmlformats.org/officeDocument/2006/relationships/image" Target="../media/image71.emf" /><Relationship Id="rId4" Type="http://schemas.openxmlformats.org/officeDocument/2006/relationships/image" Target="../media/image50.emf" /><Relationship Id="rId5" Type="http://schemas.openxmlformats.org/officeDocument/2006/relationships/image" Target="../media/image62.emf" /><Relationship Id="rId6" Type="http://schemas.openxmlformats.org/officeDocument/2006/relationships/image" Target="../media/image64.emf" /><Relationship Id="rId7" Type="http://schemas.openxmlformats.org/officeDocument/2006/relationships/image" Target="../media/image65.emf" /><Relationship Id="rId8" Type="http://schemas.openxmlformats.org/officeDocument/2006/relationships/image" Target="../media/image60.emf" /><Relationship Id="rId9" Type="http://schemas.openxmlformats.org/officeDocument/2006/relationships/image" Target="../media/image27.emf" /><Relationship Id="rId10" Type="http://schemas.openxmlformats.org/officeDocument/2006/relationships/image" Target="../media/image70.emf" /><Relationship Id="rId11" Type="http://schemas.openxmlformats.org/officeDocument/2006/relationships/image" Target="../media/image77.emf" /><Relationship Id="rId12" Type="http://schemas.openxmlformats.org/officeDocument/2006/relationships/image" Target="../media/image78.emf" /><Relationship Id="rId13" Type="http://schemas.openxmlformats.org/officeDocument/2006/relationships/image" Target="../media/image78.emf" /><Relationship Id="rId14" Type="http://schemas.openxmlformats.org/officeDocument/2006/relationships/image" Target="../media/image64.emf" /><Relationship Id="rId15" Type="http://schemas.openxmlformats.org/officeDocument/2006/relationships/image" Target="../media/image79.emf" /><Relationship Id="rId16" Type="http://schemas.openxmlformats.org/officeDocument/2006/relationships/image" Target="../media/image74.emf" /><Relationship Id="rId17" Type="http://schemas.openxmlformats.org/officeDocument/2006/relationships/image" Target="../media/image7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96</xdr:row>
      <xdr:rowOff>114300</xdr:rowOff>
    </xdr:from>
    <xdr:to>
      <xdr:col>6</xdr:col>
      <xdr:colOff>466725</xdr:colOff>
      <xdr:row>96</xdr:row>
      <xdr:rowOff>114300</xdr:rowOff>
    </xdr:to>
    <xdr:sp>
      <xdr:nvSpPr>
        <xdr:cNvPr id="1" name="Line 26"/>
        <xdr:cNvSpPr>
          <a:spLocks/>
        </xdr:cNvSpPr>
      </xdr:nvSpPr>
      <xdr:spPr>
        <a:xfrm>
          <a:off x="3657600" y="176498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131</xdr:row>
      <xdr:rowOff>142875</xdr:rowOff>
    </xdr:from>
    <xdr:to>
      <xdr:col>5</xdr:col>
      <xdr:colOff>438150</xdr:colOff>
      <xdr:row>131</xdr:row>
      <xdr:rowOff>142875</xdr:rowOff>
    </xdr:to>
    <xdr:sp>
      <xdr:nvSpPr>
        <xdr:cNvPr id="2" name="Line 33"/>
        <xdr:cNvSpPr>
          <a:spLocks/>
        </xdr:cNvSpPr>
      </xdr:nvSpPr>
      <xdr:spPr>
        <a:xfrm>
          <a:off x="2695575" y="244506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152</xdr:row>
      <xdr:rowOff>142875</xdr:rowOff>
    </xdr:from>
    <xdr:to>
      <xdr:col>7</xdr:col>
      <xdr:colOff>142875</xdr:colOff>
      <xdr:row>154</xdr:row>
      <xdr:rowOff>85725</xdr:rowOff>
    </xdr:to>
    <xdr:sp>
      <xdr:nvSpPr>
        <xdr:cNvPr id="3" name="Oval 41"/>
        <xdr:cNvSpPr>
          <a:spLocks/>
        </xdr:cNvSpPr>
      </xdr:nvSpPr>
      <xdr:spPr>
        <a:xfrm>
          <a:off x="3924300" y="28803600"/>
          <a:ext cx="733425" cy="3143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161</xdr:row>
      <xdr:rowOff>123825</xdr:rowOff>
    </xdr:from>
    <xdr:to>
      <xdr:col>5</xdr:col>
      <xdr:colOff>485775</xdr:colOff>
      <xdr:row>161</xdr:row>
      <xdr:rowOff>123825</xdr:rowOff>
    </xdr:to>
    <xdr:sp>
      <xdr:nvSpPr>
        <xdr:cNvPr id="4" name="Line 47"/>
        <xdr:cNvSpPr>
          <a:spLocks/>
        </xdr:cNvSpPr>
      </xdr:nvSpPr>
      <xdr:spPr>
        <a:xfrm>
          <a:off x="3057525" y="30460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53</xdr:row>
      <xdr:rowOff>95250</xdr:rowOff>
    </xdr:from>
    <xdr:to>
      <xdr:col>6</xdr:col>
      <xdr:colOff>590550</xdr:colOff>
      <xdr:row>53</xdr:row>
      <xdr:rowOff>95250</xdr:rowOff>
    </xdr:to>
    <xdr:sp>
      <xdr:nvSpPr>
        <xdr:cNvPr id="1" name="Line 28"/>
        <xdr:cNvSpPr>
          <a:spLocks/>
        </xdr:cNvSpPr>
      </xdr:nvSpPr>
      <xdr:spPr>
        <a:xfrm>
          <a:off x="5191125" y="99631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75</xdr:row>
      <xdr:rowOff>171450</xdr:rowOff>
    </xdr:from>
    <xdr:to>
      <xdr:col>4</xdr:col>
      <xdr:colOff>1019175</xdr:colOff>
      <xdr:row>75</xdr:row>
      <xdr:rowOff>171450</xdr:rowOff>
    </xdr:to>
    <xdr:sp>
      <xdr:nvSpPr>
        <xdr:cNvPr id="2" name="Line 34"/>
        <xdr:cNvSpPr>
          <a:spLocks/>
        </xdr:cNvSpPr>
      </xdr:nvSpPr>
      <xdr:spPr>
        <a:xfrm>
          <a:off x="3543300" y="13992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135</xdr:row>
      <xdr:rowOff>152400</xdr:rowOff>
    </xdr:from>
    <xdr:to>
      <xdr:col>5</xdr:col>
      <xdr:colOff>419100</xdr:colOff>
      <xdr:row>135</xdr:row>
      <xdr:rowOff>152400</xdr:rowOff>
    </xdr:to>
    <xdr:sp>
      <xdr:nvSpPr>
        <xdr:cNvPr id="3" name="Line 35"/>
        <xdr:cNvSpPr>
          <a:spLocks/>
        </xdr:cNvSpPr>
      </xdr:nvSpPr>
      <xdr:spPr>
        <a:xfrm>
          <a:off x="3752850" y="25422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1123950</xdr:colOff>
      <xdr:row>159</xdr:row>
      <xdr:rowOff>123825</xdr:rowOff>
    </xdr:from>
    <xdr:to>
      <xdr:col>6</xdr:col>
      <xdr:colOff>76200</xdr:colOff>
      <xdr:row>161</xdr:row>
      <xdr:rowOff>95250</xdr:rowOff>
    </xdr:to>
    <xdr:sp>
      <xdr:nvSpPr>
        <xdr:cNvPr id="4" name="Oval 38"/>
        <xdr:cNvSpPr>
          <a:spLocks/>
        </xdr:cNvSpPr>
      </xdr:nvSpPr>
      <xdr:spPr>
        <a:xfrm>
          <a:off x="4029075" y="29870400"/>
          <a:ext cx="733425" cy="3333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167</xdr:row>
      <xdr:rowOff>142875</xdr:rowOff>
    </xdr:from>
    <xdr:to>
      <xdr:col>4</xdr:col>
      <xdr:colOff>1009650</xdr:colOff>
      <xdr:row>167</xdr:row>
      <xdr:rowOff>142875</xdr:rowOff>
    </xdr:to>
    <xdr:sp>
      <xdr:nvSpPr>
        <xdr:cNvPr id="5" name="Line 49"/>
        <xdr:cNvSpPr>
          <a:spLocks/>
        </xdr:cNvSpPr>
      </xdr:nvSpPr>
      <xdr:spPr>
        <a:xfrm>
          <a:off x="3305175" y="31461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69</xdr:row>
      <xdr:rowOff>133350</xdr:rowOff>
    </xdr:from>
    <xdr:to>
      <xdr:col>5</xdr:col>
      <xdr:colOff>695325</xdr:colOff>
      <xdr:row>69</xdr:row>
      <xdr:rowOff>133350</xdr:rowOff>
    </xdr:to>
    <xdr:sp>
      <xdr:nvSpPr>
        <xdr:cNvPr id="1" name="Line 55"/>
        <xdr:cNvSpPr>
          <a:spLocks/>
        </xdr:cNvSpPr>
      </xdr:nvSpPr>
      <xdr:spPr>
        <a:xfrm>
          <a:off x="3571875" y="128778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99</xdr:row>
      <xdr:rowOff>114300</xdr:rowOff>
    </xdr:from>
    <xdr:to>
      <xdr:col>5</xdr:col>
      <xdr:colOff>819150</xdr:colOff>
      <xdr:row>99</xdr:row>
      <xdr:rowOff>114300</xdr:rowOff>
    </xdr:to>
    <xdr:sp>
      <xdr:nvSpPr>
        <xdr:cNvPr id="2" name="Line 58"/>
        <xdr:cNvSpPr>
          <a:spLocks/>
        </xdr:cNvSpPr>
      </xdr:nvSpPr>
      <xdr:spPr>
        <a:xfrm>
          <a:off x="3867150" y="188499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129</xdr:row>
      <xdr:rowOff>171450</xdr:rowOff>
    </xdr:from>
    <xdr:to>
      <xdr:col>6</xdr:col>
      <xdr:colOff>723900</xdr:colOff>
      <xdr:row>131</xdr:row>
      <xdr:rowOff>104775</xdr:rowOff>
    </xdr:to>
    <xdr:sp>
      <xdr:nvSpPr>
        <xdr:cNvPr id="3" name="Oval 61"/>
        <xdr:cNvSpPr>
          <a:spLocks/>
        </xdr:cNvSpPr>
      </xdr:nvSpPr>
      <xdr:spPr>
        <a:xfrm>
          <a:off x="4791075" y="25003125"/>
          <a:ext cx="638175" cy="3905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138</xdr:row>
      <xdr:rowOff>161925</xdr:rowOff>
    </xdr:from>
    <xdr:to>
      <xdr:col>5</xdr:col>
      <xdr:colOff>457200</xdr:colOff>
      <xdr:row>138</xdr:row>
      <xdr:rowOff>161925</xdr:rowOff>
    </xdr:to>
    <xdr:sp>
      <xdr:nvSpPr>
        <xdr:cNvPr id="4" name="Line 67"/>
        <xdr:cNvSpPr>
          <a:spLocks/>
        </xdr:cNvSpPr>
      </xdr:nvSpPr>
      <xdr:spPr>
        <a:xfrm>
          <a:off x="3409950" y="267557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79</xdr:row>
      <xdr:rowOff>123825</xdr:rowOff>
    </xdr:from>
    <xdr:to>
      <xdr:col>5</xdr:col>
      <xdr:colOff>333375</xdr:colOff>
      <xdr:row>79</xdr:row>
      <xdr:rowOff>123825</xdr:rowOff>
    </xdr:to>
    <xdr:sp>
      <xdr:nvSpPr>
        <xdr:cNvPr id="1" name="Line 26"/>
        <xdr:cNvSpPr>
          <a:spLocks/>
        </xdr:cNvSpPr>
      </xdr:nvSpPr>
      <xdr:spPr>
        <a:xfrm>
          <a:off x="3857625" y="145065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942975</xdr:colOff>
      <xdr:row>137</xdr:row>
      <xdr:rowOff>114300</xdr:rowOff>
    </xdr:from>
    <xdr:to>
      <xdr:col>5</xdr:col>
      <xdr:colOff>323850</xdr:colOff>
      <xdr:row>137</xdr:row>
      <xdr:rowOff>114300</xdr:rowOff>
    </xdr:to>
    <xdr:sp>
      <xdr:nvSpPr>
        <xdr:cNvPr id="2" name="Line 26"/>
        <xdr:cNvSpPr>
          <a:spLocks/>
        </xdr:cNvSpPr>
      </xdr:nvSpPr>
      <xdr:spPr>
        <a:xfrm>
          <a:off x="3848100" y="25155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159</xdr:row>
      <xdr:rowOff>114300</xdr:rowOff>
    </xdr:from>
    <xdr:to>
      <xdr:col>5</xdr:col>
      <xdr:colOff>466725</xdr:colOff>
      <xdr:row>159</xdr:row>
      <xdr:rowOff>114300</xdr:rowOff>
    </xdr:to>
    <xdr:sp>
      <xdr:nvSpPr>
        <xdr:cNvPr id="3" name="Line 26"/>
        <xdr:cNvSpPr>
          <a:spLocks/>
        </xdr:cNvSpPr>
      </xdr:nvSpPr>
      <xdr:spPr>
        <a:xfrm>
          <a:off x="3990975" y="29279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75</xdr:row>
      <xdr:rowOff>114300</xdr:rowOff>
    </xdr:from>
    <xdr:to>
      <xdr:col>6</xdr:col>
      <xdr:colOff>495300</xdr:colOff>
      <xdr:row>75</xdr:row>
      <xdr:rowOff>114300</xdr:rowOff>
    </xdr:to>
    <xdr:sp>
      <xdr:nvSpPr>
        <xdr:cNvPr id="1" name="Line 35"/>
        <xdr:cNvSpPr>
          <a:spLocks/>
        </xdr:cNvSpPr>
      </xdr:nvSpPr>
      <xdr:spPr>
        <a:xfrm>
          <a:off x="3676650" y="13582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120</xdr:row>
      <xdr:rowOff>114300</xdr:rowOff>
    </xdr:from>
    <xdr:to>
      <xdr:col>6</xdr:col>
      <xdr:colOff>466725</xdr:colOff>
      <xdr:row>120</xdr:row>
      <xdr:rowOff>114300</xdr:rowOff>
    </xdr:to>
    <xdr:sp>
      <xdr:nvSpPr>
        <xdr:cNvPr id="2" name="Line 26"/>
        <xdr:cNvSpPr>
          <a:spLocks/>
        </xdr:cNvSpPr>
      </xdr:nvSpPr>
      <xdr:spPr>
        <a:xfrm>
          <a:off x="3590925" y="21802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99</xdr:row>
      <xdr:rowOff>95250</xdr:rowOff>
    </xdr:from>
    <xdr:to>
      <xdr:col>4</xdr:col>
      <xdr:colOff>476250</xdr:colOff>
      <xdr:row>99</xdr:row>
      <xdr:rowOff>104775</xdr:rowOff>
    </xdr:to>
    <xdr:sp>
      <xdr:nvSpPr>
        <xdr:cNvPr id="3" name="Line 26"/>
        <xdr:cNvSpPr>
          <a:spLocks/>
        </xdr:cNvSpPr>
      </xdr:nvSpPr>
      <xdr:spPr>
        <a:xfrm>
          <a:off x="2457450" y="17859375"/>
          <a:ext cx="400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295275</xdr:colOff>
      <xdr:row>68</xdr:row>
      <xdr:rowOff>57150</xdr:rowOff>
    </xdr:from>
    <xdr:to>
      <xdr:col>5</xdr:col>
      <xdr:colOff>457200</xdr:colOff>
      <xdr:row>70</xdr:row>
      <xdr:rowOff>142875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2144375"/>
          <a:ext cx="7715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vmlDrawing" Target="../drawings/vmlDrawing1.vm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vmlDrawing" Target="../drawings/vmlDrawing2.vml" /><Relationship Id="rId21" Type="http://schemas.openxmlformats.org/officeDocument/2006/relationships/drawing" Target="../drawings/drawing2.xm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vmlDrawing" Target="../drawings/vmlDrawing3.vml" /><Relationship Id="rId22" Type="http://schemas.openxmlformats.org/officeDocument/2006/relationships/drawing" Target="../drawings/drawing3.xml" /><Relationship Id="rId2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oleObject" Target="../embeddings/oleObject_3_18.bin" /><Relationship Id="rId20" Type="http://schemas.openxmlformats.org/officeDocument/2006/relationships/vmlDrawing" Target="../drawings/vmlDrawing4.vml" /><Relationship Id="rId21" Type="http://schemas.openxmlformats.org/officeDocument/2006/relationships/drawing" Target="../drawings/drawing4.xml" /><Relationship Id="rId2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oleObject" Target="../embeddings/oleObject_4_12.bin" /><Relationship Id="rId14" Type="http://schemas.openxmlformats.org/officeDocument/2006/relationships/oleObject" Target="../embeddings/oleObject_4_13.bin" /><Relationship Id="rId15" Type="http://schemas.openxmlformats.org/officeDocument/2006/relationships/oleObject" Target="../embeddings/oleObject_4_14.bin" /><Relationship Id="rId16" Type="http://schemas.openxmlformats.org/officeDocument/2006/relationships/oleObject" Target="../embeddings/oleObject_4_15.bin" /><Relationship Id="rId17" Type="http://schemas.openxmlformats.org/officeDocument/2006/relationships/oleObject" Target="../embeddings/oleObject_4_16.bin" /><Relationship Id="rId18" Type="http://schemas.openxmlformats.org/officeDocument/2006/relationships/vmlDrawing" Target="../drawings/vmlDrawing5.vml" /><Relationship Id="rId19" Type="http://schemas.openxmlformats.org/officeDocument/2006/relationships/drawing" Target="../drawings/drawing5.xml" /><Relationship Id="rId2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zoomScale="88" zoomScaleNormal="88" zoomScalePageLayoutView="0" workbookViewId="0" topLeftCell="A1">
      <selection activeCell="P25" sqref="P25"/>
    </sheetView>
  </sheetViews>
  <sheetFormatPr defaultColWidth="9.140625" defaultRowHeight="12.75"/>
  <cols>
    <col min="1" max="1" width="4.7109375" style="189" customWidth="1"/>
    <col min="2" max="6" width="10.28125" style="10" customWidth="1"/>
    <col min="7" max="7" width="11.57421875" style="10" customWidth="1"/>
    <col min="8" max="8" width="16.421875" style="10" customWidth="1"/>
    <col min="9" max="9" width="12.00390625" style="10" customWidth="1"/>
    <col min="10" max="10" width="10.57421875" style="10" customWidth="1"/>
    <col min="11" max="13" width="10.28125" style="10" customWidth="1"/>
    <col min="14" max="14" width="5.7109375" style="10" customWidth="1"/>
    <col min="15" max="16384" width="9.140625" style="10" customWidth="1"/>
  </cols>
  <sheetData>
    <row r="1" spans="1:14" s="33" customFormat="1" ht="25.5" customHeight="1">
      <c r="A1" s="341" t="s">
        <v>139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1:14" ht="13.5">
      <c r="A2" s="15"/>
      <c r="N2" s="15"/>
    </row>
    <row r="3" spans="1:14" ht="13.5">
      <c r="A3" s="15"/>
      <c r="B3" s="129" t="s">
        <v>187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37"/>
    </row>
    <row r="4" spans="1:14" ht="13.5">
      <c r="A4" s="15"/>
      <c r="B4" s="130" t="s">
        <v>140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35"/>
    </row>
    <row r="5" spans="1:14" ht="13.5">
      <c r="A5" s="15"/>
      <c r="B5" s="32"/>
      <c r="C5" s="32"/>
      <c r="D5" s="32"/>
      <c r="E5" s="32"/>
      <c r="F5" s="32"/>
      <c r="G5" s="32"/>
      <c r="H5" s="32"/>
      <c r="I5" s="32"/>
      <c r="J5" s="32"/>
      <c r="K5" s="32"/>
      <c r="N5" s="15"/>
    </row>
    <row r="6" spans="1:14" ht="13.5">
      <c r="A6" s="15"/>
      <c r="B6" s="34" t="s">
        <v>141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7"/>
    </row>
    <row r="7" spans="1:14" ht="15">
      <c r="A7" s="15"/>
      <c r="B7" s="32" t="s">
        <v>142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</row>
    <row r="8" spans="1:14" ht="13.5">
      <c r="A8" s="15"/>
      <c r="B8" s="32" t="s">
        <v>143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5"/>
    </row>
    <row r="9" spans="1:14" ht="13.5">
      <c r="A9" s="15"/>
      <c r="B9" s="32" t="s">
        <v>145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5"/>
    </row>
    <row r="10" spans="1:14" ht="13.5">
      <c r="A10" s="15"/>
      <c r="B10" s="32" t="s">
        <v>146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5"/>
    </row>
    <row r="11" spans="1:14" ht="13.5">
      <c r="A11" s="15"/>
      <c r="B11" s="32" t="s">
        <v>144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5"/>
    </row>
    <row r="12" spans="1:14" ht="13.5">
      <c r="A12" s="15"/>
      <c r="B12" s="32" t="s">
        <v>147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5"/>
    </row>
    <row r="13" spans="1:14" ht="15">
      <c r="A13" s="15"/>
      <c r="B13" s="32" t="s">
        <v>148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5"/>
    </row>
    <row r="14" spans="1:14" ht="13.5">
      <c r="A14" s="15"/>
      <c r="N14" s="15"/>
    </row>
    <row r="15" spans="1:14" ht="13.5">
      <c r="A15" s="15"/>
      <c r="B15" s="34" t="s">
        <v>149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7"/>
    </row>
    <row r="16" spans="1:14" ht="14.25" thickBot="1">
      <c r="A16" s="15"/>
      <c r="B16" s="32" t="s">
        <v>150</v>
      </c>
      <c r="C16" s="32"/>
      <c r="D16" s="32"/>
      <c r="E16" s="32"/>
      <c r="F16" s="32"/>
      <c r="G16" s="32"/>
      <c r="H16" s="32"/>
      <c r="I16" s="32"/>
      <c r="J16" s="32"/>
      <c r="K16" s="32"/>
      <c r="N16" s="15"/>
    </row>
    <row r="17" spans="1:14" ht="14.25" thickBot="1">
      <c r="A17" s="15"/>
      <c r="E17" s="345" t="s">
        <v>51</v>
      </c>
      <c r="F17" s="342" t="s">
        <v>52</v>
      </c>
      <c r="G17" s="343"/>
      <c r="H17" s="344"/>
      <c r="N17" s="15"/>
    </row>
    <row r="18" spans="1:14" ht="14.25" thickBot="1">
      <c r="A18" s="15"/>
      <c r="E18" s="346"/>
      <c r="F18" s="125" t="s">
        <v>53</v>
      </c>
      <c r="G18" s="126" t="s">
        <v>54</v>
      </c>
      <c r="H18" s="127" t="s">
        <v>55</v>
      </c>
      <c r="N18" s="15"/>
    </row>
    <row r="19" spans="1:14" ht="13.5">
      <c r="A19" s="15"/>
      <c r="E19" s="120" t="s">
        <v>56</v>
      </c>
      <c r="F19" s="122">
        <v>19</v>
      </c>
      <c r="G19" s="123">
        <v>13</v>
      </c>
      <c r="H19" s="124">
        <v>16</v>
      </c>
      <c r="N19" s="15"/>
    </row>
    <row r="20" spans="1:14" ht="14.25" thickBot="1">
      <c r="A20" s="15"/>
      <c r="E20" s="121" t="s">
        <v>57</v>
      </c>
      <c r="F20" s="63">
        <v>21</v>
      </c>
      <c r="G20" s="58">
        <v>21</v>
      </c>
      <c r="H20" s="114">
        <v>15</v>
      </c>
      <c r="N20" s="15"/>
    </row>
    <row r="21" spans="1:14" ht="13.5">
      <c r="A21" s="15"/>
      <c r="N21" s="15"/>
    </row>
    <row r="22" spans="1:14" ht="13.5">
      <c r="A22" s="15"/>
      <c r="B22" s="32" t="s">
        <v>151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5"/>
    </row>
    <row r="23" spans="1:14" ht="15">
      <c r="A23" s="15"/>
      <c r="B23" s="32" t="s">
        <v>152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5"/>
    </row>
    <row r="24" spans="1:14" ht="13.5">
      <c r="A24" s="15"/>
      <c r="B24" s="32" t="s">
        <v>153</v>
      </c>
      <c r="C24" s="32"/>
      <c r="D24" s="32"/>
      <c r="E24" s="32"/>
      <c r="F24" s="32"/>
      <c r="G24" s="32"/>
      <c r="H24" s="32"/>
      <c r="I24" s="32"/>
      <c r="J24" s="32"/>
      <c r="K24" s="32"/>
      <c r="N24" s="15"/>
    </row>
    <row r="25" spans="1:14" ht="13.5">
      <c r="A25" s="15"/>
      <c r="B25" s="32" t="s">
        <v>154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5"/>
    </row>
    <row r="26" spans="1:14" ht="13.5">
      <c r="A26" s="15"/>
      <c r="N26" s="15"/>
    </row>
    <row r="27" spans="1:14" ht="12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s="33" customFormat="1" ht="24.75" customHeight="1">
      <c r="A28" s="347" t="s">
        <v>155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</row>
    <row r="29" spans="1:14" s="33" customFormat="1" ht="13.5" customHeight="1">
      <c r="A29" s="16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6"/>
    </row>
    <row r="30" spans="1:14" ht="15">
      <c r="A30" s="118" t="s">
        <v>81</v>
      </c>
      <c r="N30" s="27"/>
    </row>
    <row r="31" spans="1:14" ht="15">
      <c r="A31" s="118"/>
      <c r="N31" s="27"/>
    </row>
    <row r="32" spans="1:14" ht="13.5">
      <c r="A32" s="119" t="s">
        <v>26</v>
      </c>
      <c r="B32" s="130" t="s">
        <v>195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34"/>
      <c r="N32" s="41"/>
    </row>
    <row r="33" spans="1:14" ht="13.5">
      <c r="A33" s="119"/>
      <c r="B33" s="130" t="s">
        <v>196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32"/>
      <c r="N33" s="39"/>
    </row>
    <row r="34" spans="1:14" ht="13.5">
      <c r="A34" s="27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89"/>
      <c r="N34" s="27"/>
    </row>
    <row r="35" spans="1:14" ht="13.5">
      <c r="A35" s="27"/>
      <c r="B35" s="10" t="s">
        <v>188</v>
      </c>
      <c r="N35" s="27"/>
    </row>
    <row r="36" spans="1:14" ht="13.5">
      <c r="A36" s="27"/>
      <c r="B36" s="10" t="s">
        <v>189</v>
      </c>
      <c r="N36" s="27"/>
    </row>
    <row r="37" spans="1:14" ht="14.25">
      <c r="A37" s="27"/>
      <c r="N37" s="27"/>
    </row>
    <row r="38" spans="1:14" ht="14.25">
      <c r="A38" s="27"/>
      <c r="F38" s="7" t="s">
        <v>156</v>
      </c>
      <c r="G38" s="1">
        <v>4</v>
      </c>
      <c r="H38" s="7" t="s">
        <v>190</v>
      </c>
      <c r="I38" s="1">
        <v>0.72</v>
      </c>
      <c r="N38" s="27"/>
    </row>
    <row r="39" spans="1:14" ht="14.25">
      <c r="A39" s="27"/>
      <c r="N39" s="27"/>
    </row>
    <row r="40" spans="1:14" ht="14.25">
      <c r="A40" s="27"/>
      <c r="N40" s="27"/>
    </row>
    <row r="41" spans="1:14" ht="14.25">
      <c r="A41" s="27"/>
      <c r="N41" s="27"/>
    </row>
    <row r="42" spans="1:14" ht="13.5">
      <c r="A42" s="27"/>
      <c r="B42" s="10" t="s">
        <v>197</v>
      </c>
      <c r="N42" s="27"/>
    </row>
    <row r="43" spans="1:14" ht="14.25">
      <c r="A43" s="27"/>
      <c r="N43" s="27"/>
    </row>
    <row r="44" spans="1:14" ht="14.25">
      <c r="A44" s="27"/>
      <c r="I44" s="7" t="s">
        <v>191</v>
      </c>
      <c r="J44" s="75">
        <f>+((4*3*2)/(2*2))*(I38^2)*(1-I38)^2</f>
        <v>0.24385536000000002</v>
      </c>
      <c r="N44" s="27"/>
    </row>
    <row r="45" spans="1:14" ht="14.25">
      <c r="A45" s="27"/>
      <c r="I45" s="7" t="s">
        <v>192</v>
      </c>
      <c r="J45" s="75">
        <f>+((4*3*2)/(3*2))*(I38^3)*(1-I38)</f>
        <v>0.41803776</v>
      </c>
      <c r="N45" s="27"/>
    </row>
    <row r="46" spans="1:14" ht="14.25">
      <c r="A46" s="27"/>
      <c r="I46" s="7" t="s">
        <v>193</v>
      </c>
      <c r="J46" s="75">
        <f>+I38^4</f>
        <v>0.26873855999999996</v>
      </c>
      <c r="N46" s="27"/>
    </row>
    <row r="47" spans="1:14" ht="15" thickBot="1">
      <c r="A47" s="27"/>
      <c r="N47" s="27"/>
    </row>
    <row r="48" spans="1:14" ht="15" thickBot="1">
      <c r="A48" s="27"/>
      <c r="D48" s="191">
        <f>+J44+J45+J46</f>
        <v>0.93063168</v>
      </c>
      <c r="N48" s="27"/>
    </row>
    <row r="49" spans="1:14" ht="14.25">
      <c r="A49" s="27"/>
      <c r="N49" s="27"/>
    </row>
    <row r="50" spans="1:14" ht="13.5">
      <c r="A50" s="27"/>
      <c r="B50" s="11" t="s">
        <v>194</v>
      </c>
      <c r="N50" s="27"/>
    </row>
    <row r="51" spans="1:14" ht="14.25">
      <c r="A51" s="27"/>
      <c r="N51" s="27"/>
    </row>
    <row r="52" spans="1:14" ht="14.25">
      <c r="A52" s="27"/>
      <c r="N52" s="27"/>
    </row>
    <row r="53" spans="1:14" ht="13.5">
      <c r="A53" s="27"/>
      <c r="N53" s="27"/>
    </row>
    <row r="54" spans="1:14" ht="8.25" customHeight="1">
      <c r="A54" s="27"/>
      <c r="N54" s="27"/>
    </row>
    <row r="55" spans="1:14" ht="15">
      <c r="A55" s="118" t="s">
        <v>82</v>
      </c>
      <c r="N55" s="27"/>
    </row>
    <row r="56" spans="1:14" ht="15">
      <c r="A56" s="118"/>
      <c r="N56" s="27"/>
    </row>
    <row r="57" spans="1:14" ht="15.75">
      <c r="A57" s="118"/>
      <c r="C57" s="7" t="s">
        <v>156</v>
      </c>
      <c r="D57" s="1">
        <v>182</v>
      </c>
      <c r="F57" s="7" t="s">
        <v>157</v>
      </c>
      <c r="G57" s="1">
        <v>25.7</v>
      </c>
      <c r="I57" s="7" t="s">
        <v>158</v>
      </c>
      <c r="J57" s="1">
        <v>14.88</v>
      </c>
      <c r="N57" s="27"/>
    </row>
    <row r="58" spans="1:14" ht="15">
      <c r="A58" s="118"/>
      <c r="N58" s="27"/>
    </row>
    <row r="59" spans="1:14" ht="13.5">
      <c r="A59" s="119" t="s">
        <v>26</v>
      </c>
      <c r="B59" s="32" t="s">
        <v>130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9"/>
    </row>
    <row r="60" spans="1:14" ht="13.5">
      <c r="A60" s="11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40"/>
    </row>
    <row r="61" spans="1:14" ht="14.25">
      <c r="A61" s="119"/>
      <c r="B61" s="2" t="s">
        <v>159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40"/>
    </row>
    <row r="62" spans="1:14" ht="14.25">
      <c r="A62" s="11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40"/>
    </row>
    <row r="63" spans="1:14" ht="14.25">
      <c r="A63" s="119"/>
      <c r="B63" s="351"/>
      <c r="C63" s="351"/>
      <c r="D63" s="351"/>
      <c r="E63" s="351"/>
      <c r="F63" s="351"/>
      <c r="G63" s="2"/>
      <c r="H63" s="2"/>
      <c r="I63" s="2"/>
      <c r="J63" s="2"/>
      <c r="K63" s="2"/>
      <c r="L63" s="2"/>
      <c r="M63" s="2"/>
      <c r="N63" s="40"/>
    </row>
    <row r="64" spans="1:14" ht="14.25">
      <c r="A64" s="11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0"/>
    </row>
    <row r="65" spans="1:14" ht="15.75">
      <c r="A65" s="119"/>
      <c r="B65" s="2" t="s">
        <v>160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40"/>
    </row>
    <row r="66" spans="1:14" ht="14.25" thickBot="1">
      <c r="A66" s="11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0"/>
    </row>
    <row r="67" spans="1:14" ht="15.75">
      <c r="A67" s="119"/>
      <c r="B67" s="74" t="s">
        <v>102</v>
      </c>
      <c r="C67" s="1">
        <v>0.01</v>
      </c>
      <c r="D67" s="2"/>
      <c r="E67" s="7" t="s">
        <v>165</v>
      </c>
      <c r="F67" s="3" t="s">
        <v>166</v>
      </c>
      <c r="G67" s="135">
        <f>-NORMSINV(0.005)</f>
        <v>2.5758293035489155</v>
      </c>
      <c r="H67" s="2"/>
      <c r="I67" s="80" t="s">
        <v>167</v>
      </c>
      <c r="J67" s="81">
        <f>+G57-G67*SQRT(J57/D57)</f>
        <v>24.963482871653866</v>
      </c>
      <c r="K67" s="2"/>
      <c r="L67" s="2"/>
      <c r="M67" s="2"/>
      <c r="N67" s="40"/>
    </row>
    <row r="68" spans="1:14" ht="15" thickBot="1">
      <c r="A68" s="119"/>
      <c r="B68" s="32"/>
      <c r="C68" s="32"/>
      <c r="D68" s="2"/>
      <c r="E68" s="2"/>
      <c r="F68" s="2"/>
      <c r="G68" s="2"/>
      <c r="H68" s="2"/>
      <c r="I68" s="82" t="s">
        <v>115</v>
      </c>
      <c r="J68" s="83">
        <f>+G57+G67*SQRT(J57/D57)</f>
        <v>26.436517128346132</v>
      </c>
      <c r="K68" s="2"/>
      <c r="L68" s="2"/>
      <c r="M68" s="2"/>
      <c r="N68" s="40"/>
    </row>
    <row r="69" spans="1:14" ht="13.5">
      <c r="A69" s="11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0"/>
    </row>
    <row r="70" spans="1:14" ht="13.5">
      <c r="A70" s="119" t="s">
        <v>27</v>
      </c>
      <c r="B70" s="32" t="s">
        <v>131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9"/>
    </row>
    <row r="71" spans="1:14" ht="13.5">
      <c r="A71" s="27"/>
      <c r="B71" s="32" t="s">
        <v>132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9"/>
    </row>
    <row r="72" spans="1:14" ht="13.5">
      <c r="A72" s="27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9"/>
    </row>
    <row r="73" spans="1:14" ht="14.25">
      <c r="A73" s="27"/>
      <c r="N73" s="27"/>
    </row>
    <row r="74" spans="1:14" ht="14.25">
      <c r="A74" s="27"/>
      <c r="D74" s="75">
        <f>69/182</f>
        <v>0.3791208791208791</v>
      </c>
      <c r="N74" s="27"/>
    </row>
    <row r="75" spans="1:14" ht="15" thickBot="1">
      <c r="A75" s="27"/>
      <c r="D75" s="11"/>
      <c r="N75" s="27"/>
    </row>
    <row r="76" spans="1:14" ht="15" thickBot="1">
      <c r="A76" s="27"/>
      <c r="B76" s="10" t="s">
        <v>168</v>
      </c>
      <c r="F76" s="10" t="s">
        <v>169</v>
      </c>
      <c r="G76" s="134" t="s">
        <v>33</v>
      </c>
      <c r="H76" s="214">
        <f>+(D74*(1-D74))/D57</f>
        <v>0.0012933419677774224</v>
      </c>
      <c r="N76" s="27"/>
    </row>
    <row r="77" spans="1:14" ht="14.25">
      <c r="A77" s="27"/>
      <c r="N77" s="27"/>
    </row>
    <row r="78" spans="1:14" ht="13.5">
      <c r="A78" s="27"/>
      <c r="N78" s="27"/>
    </row>
    <row r="79" spans="1:14" ht="13.5">
      <c r="A79" s="119" t="s">
        <v>31</v>
      </c>
      <c r="B79" s="32" t="s">
        <v>133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9"/>
    </row>
    <row r="80" spans="1:14" ht="14.25">
      <c r="A80" s="11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0"/>
    </row>
    <row r="81" spans="1:14" ht="14.25">
      <c r="A81" s="119"/>
      <c r="B81" s="2" t="s">
        <v>103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0"/>
    </row>
    <row r="82" spans="1:14" ht="14.25">
      <c r="A82" s="11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0"/>
    </row>
    <row r="83" spans="1:14" ht="15" thickBot="1">
      <c r="A83" s="11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0"/>
    </row>
    <row r="84" spans="1:14" ht="15.75">
      <c r="A84" s="119"/>
      <c r="B84" s="74" t="s">
        <v>102</v>
      </c>
      <c r="C84" s="1">
        <v>0.1</v>
      </c>
      <c r="D84" s="2"/>
      <c r="E84" s="7" t="s">
        <v>165</v>
      </c>
      <c r="F84" s="3" t="s">
        <v>170</v>
      </c>
      <c r="G84" s="135">
        <f>-NORMSINV(0.05)</f>
        <v>1.6448536269514742</v>
      </c>
      <c r="H84" s="2"/>
      <c r="I84" s="2"/>
      <c r="J84" s="80" t="s">
        <v>167</v>
      </c>
      <c r="K84" s="91">
        <f>+D74-G84*SQRT(H76)</f>
        <v>0.3199669029668868</v>
      </c>
      <c r="L84" s="2"/>
      <c r="M84" s="2"/>
      <c r="N84" s="40"/>
    </row>
    <row r="85" spans="1:14" ht="15" thickBot="1">
      <c r="A85" s="27"/>
      <c r="F85" s="132"/>
      <c r="J85" s="82" t="s">
        <v>115</v>
      </c>
      <c r="K85" s="92">
        <f>+D74+G84*SQRT(H76)</f>
        <v>0.4382748552748714</v>
      </c>
      <c r="M85" s="132"/>
      <c r="N85" s="27"/>
    </row>
    <row r="86" spans="1:14" ht="13.5">
      <c r="A86" s="27"/>
      <c r="N86" s="27"/>
    </row>
    <row r="87" spans="1:14" ht="15">
      <c r="A87" s="119" t="s">
        <v>58</v>
      </c>
      <c r="B87" s="32" t="s">
        <v>134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9"/>
    </row>
    <row r="88" spans="1:15" ht="13.5">
      <c r="A88" s="119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9"/>
      <c r="O88" s="32"/>
    </row>
    <row r="89" spans="1:15" ht="15">
      <c r="A89" s="119"/>
      <c r="B89" s="2"/>
      <c r="C89" s="7" t="s">
        <v>171</v>
      </c>
      <c r="D89" s="2"/>
      <c r="E89" s="73" t="s">
        <v>172</v>
      </c>
      <c r="F89" s="1">
        <v>0.3</v>
      </c>
      <c r="H89" s="74" t="s">
        <v>102</v>
      </c>
      <c r="I89" s="1">
        <v>0.05</v>
      </c>
      <c r="J89" s="2"/>
      <c r="K89" s="2"/>
      <c r="L89" s="2"/>
      <c r="M89" s="2"/>
      <c r="N89" s="40"/>
      <c r="O89" s="2"/>
    </row>
    <row r="90" spans="1:15" ht="15">
      <c r="A90" s="119"/>
      <c r="B90" s="2"/>
      <c r="C90" s="7" t="s">
        <v>250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40"/>
      <c r="O90" s="2"/>
    </row>
    <row r="91" spans="1:15" ht="14.25">
      <c r="A91" s="11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40"/>
      <c r="O91" s="2"/>
    </row>
    <row r="92" spans="1:15" s="33" customFormat="1" ht="18.75" customHeight="1">
      <c r="A92" s="137"/>
      <c r="B92" s="33" t="s">
        <v>97</v>
      </c>
      <c r="C92" s="138"/>
      <c r="D92" s="138"/>
      <c r="E92" s="138"/>
      <c r="F92" s="138"/>
      <c r="G92" s="138"/>
      <c r="H92" s="75">
        <f>+(D74-F89)/SQRT(F89*(1-F89)/D57)</f>
        <v>2.329255613097454</v>
      </c>
      <c r="I92" s="138"/>
      <c r="J92" s="138"/>
      <c r="K92" s="138"/>
      <c r="L92" s="138"/>
      <c r="M92" s="138"/>
      <c r="N92" s="139"/>
      <c r="O92" s="138"/>
    </row>
    <row r="93" spans="1:15" ht="14.25">
      <c r="A93" s="11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40"/>
      <c r="O93" s="2"/>
    </row>
    <row r="94" spans="1:15" ht="13.5">
      <c r="A94" s="119"/>
      <c r="B94" s="2"/>
      <c r="C94" s="2"/>
      <c r="D94" s="2"/>
      <c r="F94" s="2"/>
      <c r="G94" s="2"/>
      <c r="H94" s="2"/>
      <c r="I94" s="2"/>
      <c r="J94" s="2"/>
      <c r="K94" s="2"/>
      <c r="L94" s="2"/>
      <c r="M94" s="2"/>
      <c r="N94" s="40"/>
      <c r="O94" s="2"/>
    </row>
    <row r="95" spans="1:15" ht="17.25">
      <c r="A95" s="119"/>
      <c r="B95" s="32" t="s">
        <v>174</v>
      </c>
      <c r="C95" s="32"/>
      <c r="D95" s="32"/>
      <c r="E95" s="32"/>
      <c r="F95" s="32"/>
      <c r="G95" s="32"/>
      <c r="H95" s="72" t="s">
        <v>173</v>
      </c>
      <c r="I95" s="131" t="s">
        <v>135</v>
      </c>
      <c r="J95" s="136">
        <f>-NORMSINV(I89)</f>
        <v>1.6448536269514742</v>
      </c>
      <c r="K95" s="32"/>
      <c r="L95" s="32"/>
      <c r="M95" s="32"/>
      <c r="N95" s="39"/>
      <c r="O95" s="32"/>
    </row>
    <row r="96" spans="1:15" ht="15" thickBot="1">
      <c r="A96" s="11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40"/>
      <c r="O96" s="2"/>
    </row>
    <row r="97" spans="1:15" ht="16.5" thickBot="1">
      <c r="A97" s="119"/>
      <c r="B97" s="2" t="s">
        <v>175</v>
      </c>
      <c r="C97" s="2"/>
      <c r="D97" s="2"/>
      <c r="E97" s="2"/>
      <c r="F97" s="2"/>
      <c r="G97" s="2"/>
      <c r="H97" s="84" t="s">
        <v>176</v>
      </c>
      <c r="I97" s="85"/>
      <c r="J97" s="87"/>
      <c r="K97" s="2"/>
      <c r="L97" s="2"/>
      <c r="M97" s="2"/>
      <c r="N97" s="40"/>
      <c r="O97" s="2"/>
    </row>
    <row r="98" spans="1:15" ht="8.25" customHeight="1">
      <c r="A98" s="119"/>
      <c r="B98" s="2"/>
      <c r="C98" s="2"/>
      <c r="D98" s="2"/>
      <c r="E98" s="2"/>
      <c r="F98" s="2"/>
      <c r="G98" s="2"/>
      <c r="H98" s="132"/>
      <c r="I98" s="132"/>
      <c r="J98" s="132"/>
      <c r="K98" s="2"/>
      <c r="L98" s="2"/>
      <c r="M98" s="2"/>
      <c r="N98" s="40"/>
      <c r="O98" s="2"/>
    </row>
    <row r="99" spans="1:15" ht="13.5">
      <c r="A99" s="11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40"/>
      <c r="O99" s="2"/>
    </row>
    <row r="100" spans="1:14" ht="15">
      <c r="A100" s="118" t="s">
        <v>83</v>
      </c>
      <c r="N100" s="27"/>
    </row>
    <row r="101" spans="1:14" ht="14.25" thickBot="1">
      <c r="A101" s="119"/>
      <c r="N101" s="27"/>
    </row>
    <row r="102" spans="1:14" s="33" customFormat="1" ht="14.25" thickBot="1">
      <c r="A102" s="145"/>
      <c r="C102" s="352" t="s">
        <v>51</v>
      </c>
      <c r="D102" s="348" t="s">
        <v>52</v>
      </c>
      <c r="E102" s="349"/>
      <c r="F102" s="350"/>
      <c r="N102" s="145"/>
    </row>
    <row r="103" spans="1:14" s="33" customFormat="1" ht="14.25" thickBot="1">
      <c r="A103" s="145"/>
      <c r="C103" s="353"/>
      <c r="D103" s="146" t="s">
        <v>53</v>
      </c>
      <c r="E103" s="147" t="s">
        <v>54</v>
      </c>
      <c r="F103" s="148" t="s">
        <v>55</v>
      </c>
      <c r="G103" s="115" t="s">
        <v>22</v>
      </c>
      <c r="N103" s="145"/>
    </row>
    <row r="104" spans="1:14" s="33" customFormat="1" ht="13.5">
      <c r="A104" s="145"/>
      <c r="C104" s="149" t="s">
        <v>56</v>
      </c>
      <c r="D104" s="150">
        <v>19</v>
      </c>
      <c r="E104" s="151">
        <v>13</v>
      </c>
      <c r="F104" s="152">
        <v>16</v>
      </c>
      <c r="G104" s="153">
        <f>SUM(D104:F104)</f>
        <v>48</v>
      </c>
      <c r="N104" s="145"/>
    </row>
    <row r="105" spans="1:14" s="33" customFormat="1" ht="14.25" thickBot="1">
      <c r="A105" s="145"/>
      <c r="C105" s="154" t="s">
        <v>57</v>
      </c>
      <c r="D105" s="155">
        <v>21</v>
      </c>
      <c r="E105" s="156">
        <v>21</v>
      </c>
      <c r="F105" s="157">
        <v>15</v>
      </c>
      <c r="G105" s="158">
        <f>SUM(D105:F105)</f>
        <v>57</v>
      </c>
      <c r="N105" s="145"/>
    </row>
    <row r="106" spans="1:14" s="33" customFormat="1" ht="14.25" thickBot="1">
      <c r="A106" s="145"/>
      <c r="C106" s="55" t="s">
        <v>22</v>
      </c>
      <c r="D106" s="146">
        <f>SUM(D104:D105)</f>
        <v>40</v>
      </c>
      <c r="E106" s="147">
        <f>SUM(E104:E105)</f>
        <v>34</v>
      </c>
      <c r="F106" s="159">
        <f>SUM(F104:F105)</f>
        <v>31</v>
      </c>
      <c r="G106" s="160">
        <f>SUM(G104:G105)</f>
        <v>105</v>
      </c>
      <c r="N106" s="145"/>
    </row>
    <row r="107" spans="1:14" ht="13.5">
      <c r="A107" s="27"/>
      <c r="N107" s="27"/>
    </row>
    <row r="108" spans="1:14" ht="13.5">
      <c r="A108" s="119" t="s">
        <v>26</v>
      </c>
      <c r="B108" s="32" t="s">
        <v>59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9"/>
    </row>
    <row r="109" spans="1:14" ht="14.25" thickBot="1">
      <c r="A109" s="11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40"/>
    </row>
    <row r="110" spans="1:14" s="164" customFormat="1" ht="17.25" customHeight="1" thickBot="1">
      <c r="A110" s="161"/>
      <c r="B110" s="162"/>
      <c r="C110" s="169" t="s">
        <v>52</v>
      </c>
      <c r="D110" s="175" t="s">
        <v>177</v>
      </c>
      <c r="E110" s="165" t="s">
        <v>178</v>
      </c>
      <c r="F110" s="176" t="s">
        <v>181</v>
      </c>
      <c r="G110" s="166" t="s">
        <v>179</v>
      </c>
      <c r="H110" s="167" t="s">
        <v>182</v>
      </c>
      <c r="J110" s="78" t="s">
        <v>180</v>
      </c>
      <c r="K110" s="79">
        <f>+F114/E114</f>
        <v>26.18421052631579</v>
      </c>
      <c r="L110" s="162"/>
      <c r="M110" s="162"/>
      <c r="N110" s="163"/>
    </row>
    <row r="111" spans="1:14" ht="14.25">
      <c r="A111" s="119"/>
      <c r="B111" s="2"/>
      <c r="C111" s="170" t="s">
        <v>53</v>
      </c>
      <c r="D111" s="177">
        <f>+(20+15)/2</f>
        <v>17.5</v>
      </c>
      <c r="E111" s="178">
        <v>21</v>
      </c>
      <c r="F111" s="57">
        <f>+D111*E111</f>
        <v>367.5</v>
      </c>
      <c r="G111" s="179">
        <f>ABS(D111-$K$110)^2</f>
        <v>75.415512465374</v>
      </c>
      <c r="H111" s="180">
        <f>G111*E111</f>
        <v>1583.725761772854</v>
      </c>
      <c r="L111" s="2"/>
      <c r="M111" s="2"/>
      <c r="N111" s="40"/>
    </row>
    <row r="112" spans="1:14" ht="14.25">
      <c r="A112" s="119"/>
      <c r="B112" s="2"/>
      <c r="C112" s="171" t="s">
        <v>54</v>
      </c>
      <c r="D112" s="181">
        <f>+(30+20)/2</f>
        <v>25</v>
      </c>
      <c r="E112" s="172">
        <v>21</v>
      </c>
      <c r="F112" s="141">
        <f>+D112*E112</f>
        <v>525</v>
      </c>
      <c r="G112" s="173">
        <f>ABS(D112-$K$110)^2</f>
        <v>1.4023545706371232</v>
      </c>
      <c r="H112" s="182">
        <f>G112*E112</f>
        <v>29.449445983379587</v>
      </c>
      <c r="I112" s="1"/>
      <c r="K112" s="75">
        <f>+H114/E114</f>
        <v>78.53185595567867</v>
      </c>
      <c r="L112" s="2"/>
      <c r="M112" s="2"/>
      <c r="N112" s="40"/>
    </row>
    <row r="113" spans="1:14" ht="15" thickBot="1">
      <c r="A113" s="27"/>
      <c r="C113" s="154" t="s">
        <v>55</v>
      </c>
      <c r="D113" s="183">
        <f>+(50+30)/2</f>
        <v>40</v>
      </c>
      <c r="E113" s="184">
        <v>15</v>
      </c>
      <c r="F113" s="58">
        <f>+D113*E113</f>
        <v>600</v>
      </c>
      <c r="G113" s="185">
        <f>ABS(D113-$K$110)^2</f>
        <v>190.8760387811634</v>
      </c>
      <c r="H113" s="186">
        <f>G113*E113</f>
        <v>2863.140581717451</v>
      </c>
      <c r="J113" s="94"/>
      <c r="K113" s="283"/>
      <c r="N113" s="27"/>
    </row>
    <row r="114" spans="1:14" ht="14.25" thickBot="1">
      <c r="A114" s="27"/>
      <c r="D114" s="187"/>
      <c r="E114" s="192">
        <f>SUM(E111:E113)</f>
        <v>57</v>
      </c>
      <c r="F114" s="193">
        <f>SUM(F111:F113)</f>
        <v>1492.5</v>
      </c>
      <c r="G114" s="188"/>
      <c r="H114" s="194">
        <f>SUM(H111:H113)</f>
        <v>4476.315789473684</v>
      </c>
      <c r="J114" s="94"/>
      <c r="K114" s="94"/>
      <c r="N114" s="27"/>
    </row>
    <row r="115" spans="1:14" s="189" customFormat="1" ht="18.75" customHeight="1">
      <c r="A115" s="27"/>
      <c r="D115" s="187"/>
      <c r="E115" s="195"/>
      <c r="F115" s="195"/>
      <c r="G115" s="188"/>
      <c r="H115" s="196"/>
      <c r="J115" s="282"/>
      <c r="K115" s="174"/>
      <c r="N115" s="27"/>
    </row>
    <row r="116" spans="1:14" s="189" customFormat="1" ht="18.75" customHeight="1">
      <c r="A116" s="27"/>
      <c r="B116" s="189" t="s">
        <v>260</v>
      </c>
      <c r="D116" s="187"/>
      <c r="E116" s="195"/>
      <c r="F116" s="195"/>
      <c r="G116" s="188"/>
      <c r="H116" s="196"/>
      <c r="J116" s="282"/>
      <c r="K116" s="174"/>
      <c r="N116" s="27"/>
    </row>
    <row r="117" spans="1:14" ht="18.75" customHeight="1" thickBot="1">
      <c r="A117" s="27"/>
      <c r="N117" s="27"/>
    </row>
    <row r="118" spans="1:14" ht="18.75" customHeight="1" thickBot="1">
      <c r="A118" s="27"/>
      <c r="F118" s="190">
        <f>+SQRT(K112/E114)</f>
        <v>1.1737767500132024</v>
      </c>
      <c r="N118" s="27"/>
    </row>
    <row r="119" spans="1:14" ht="18.75" customHeight="1">
      <c r="A119" s="27"/>
      <c r="N119" s="27"/>
    </row>
    <row r="120" spans="1:14" ht="18.75" customHeight="1">
      <c r="A120" s="27"/>
      <c r="N120" s="27"/>
    </row>
    <row r="121" spans="1:14" ht="15">
      <c r="A121" s="119" t="s">
        <v>27</v>
      </c>
      <c r="B121" s="32" t="s">
        <v>136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9"/>
    </row>
    <row r="122" spans="1:14" ht="13.5">
      <c r="A122" s="27"/>
      <c r="B122" s="32" t="s">
        <v>60</v>
      </c>
      <c r="C122" s="32"/>
      <c r="D122" s="32"/>
      <c r="E122" s="32"/>
      <c r="F122" s="32"/>
      <c r="G122" s="32"/>
      <c r="H122" s="32"/>
      <c r="I122" s="32"/>
      <c r="J122" s="32"/>
      <c r="K122" s="32"/>
      <c r="N122" s="27"/>
    </row>
    <row r="123" spans="1:14" ht="13.5">
      <c r="A123" s="27"/>
      <c r="B123" s="2"/>
      <c r="C123" s="2"/>
      <c r="D123" s="2"/>
      <c r="E123" s="2"/>
      <c r="F123" s="2"/>
      <c r="G123" s="2"/>
      <c r="H123" s="2"/>
      <c r="I123" s="2"/>
      <c r="J123" s="2"/>
      <c r="K123" s="2"/>
      <c r="N123" s="27"/>
    </row>
    <row r="124" spans="1:14" ht="15">
      <c r="A124" s="27"/>
      <c r="B124" s="2"/>
      <c r="C124" s="7" t="s">
        <v>198</v>
      </c>
      <c r="D124" s="2"/>
      <c r="E124" s="73" t="s">
        <v>199</v>
      </c>
      <c r="F124" s="1">
        <v>25</v>
      </c>
      <c r="H124" s="74" t="s">
        <v>102</v>
      </c>
      <c r="I124" s="1">
        <v>0.01</v>
      </c>
      <c r="J124" s="7" t="s">
        <v>156</v>
      </c>
      <c r="K124" s="197">
        <f>+E114</f>
        <v>57</v>
      </c>
      <c r="N124" s="27"/>
    </row>
    <row r="125" spans="1:14" ht="15">
      <c r="A125" s="27"/>
      <c r="B125" s="2"/>
      <c r="C125" s="7" t="s">
        <v>117</v>
      </c>
      <c r="D125" s="2"/>
      <c r="E125" s="2"/>
      <c r="F125" s="2"/>
      <c r="G125" s="2"/>
      <c r="H125" s="2"/>
      <c r="I125" s="2"/>
      <c r="J125" s="2"/>
      <c r="K125" s="2"/>
      <c r="N125" s="27"/>
    </row>
    <row r="126" spans="1:14" ht="15" thickBot="1">
      <c r="A126" s="27"/>
      <c r="B126" s="2"/>
      <c r="C126" s="2"/>
      <c r="D126" s="2"/>
      <c r="E126" s="2"/>
      <c r="F126" s="2"/>
      <c r="G126" s="2"/>
      <c r="H126" s="2"/>
      <c r="I126" s="2"/>
      <c r="J126" s="2"/>
      <c r="K126" s="2"/>
      <c r="N126" s="27"/>
    </row>
    <row r="127" spans="1:14" ht="18" thickBot="1">
      <c r="A127" s="27"/>
      <c r="B127" s="2"/>
      <c r="C127" s="7" t="s">
        <v>200</v>
      </c>
      <c r="D127" s="75">
        <f>+(K110-F124)/F118</f>
        <v>1.0088890637018253</v>
      </c>
      <c r="E127" s="2"/>
      <c r="F127" s="2"/>
      <c r="G127" s="2"/>
      <c r="H127" s="190">
        <f>TDIST(D127,K124,2)</f>
        <v>0.31729156024887717</v>
      </c>
      <c r="I127" s="2"/>
      <c r="J127" s="2"/>
      <c r="K127" s="2"/>
      <c r="N127" s="27"/>
    </row>
    <row r="128" spans="1:14" ht="20.25" customHeight="1">
      <c r="A128" s="27"/>
      <c r="H128" s="133"/>
      <c r="N128" s="27"/>
    </row>
    <row r="129" spans="1:14" ht="13.5">
      <c r="A129" s="27"/>
      <c r="B129" s="2" t="s">
        <v>202</v>
      </c>
      <c r="N129" s="27"/>
    </row>
    <row r="130" spans="1:14" ht="13.5">
      <c r="A130" s="27"/>
      <c r="B130" s="10" t="s">
        <v>201</v>
      </c>
      <c r="N130" s="27"/>
    </row>
    <row r="131" spans="1:14" ht="14.25" thickBot="1">
      <c r="A131" s="27"/>
      <c r="N131" s="27"/>
    </row>
    <row r="132" spans="1:14" s="33" customFormat="1" ht="19.5" customHeight="1" thickBot="1">
      <c r="A132" s="145"/>
      <c r="B132" s="33" t="s">
        <v>204</v>
      </c>
      <c r="G132" s="348" t="s">
        <v>203</v>
      </c>
      <c r="H132" s="349"/>
      <c r="I132" s="350"/>
      <c r="N132" s="145"/>
    </row>
    <row r="133" spans="1:14" ht="20.25" customHeight="1">
      <c r="A133" s="27"/>
      <c r="N133" s="27"/>
    </row>
    <row r="134" spans="1:14" ht="13.5">
      <c r="A134" s="119" t="s">
        <v>31</v>
      </c>
      <c r="B134" s="32" t="s">
        <v>137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9"/>
    </row>
    <row r="135" spans="1:14" ht="14.25">
      <c r="A135" s="11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40"/>
    </row>
    <row r="136" spans="1:14" ht="14.25">
      <c r="A136" s="119"/>
      <c r="B136" s="2" t="s">
        <v>123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40"/>
    </row>
    <row r="137" spans="1:14" ht="14.25">
      <c r="A137" s="11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40"/>
    </row>
    <row r="138" spans="1:14" ht="14.25">
      <c r="A138" s="11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40"/>
    </row>
    <row r="139" spans="1:14" ht="14.25">
      <c r="A139" s="11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40"/>
    </row>
    <row r="140" spans="1:14" ht="15">
      <c r="A140" s="119"/>
      <c r="B140" s="2"/>
      <c r="C140" s="32" t="s">
        <v>124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40"/>
    </row>
    <row r="141" spans="1:14" ht="14.25" thickBot="1">
      <c r="A141" s="11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40"/>
    </row>
    <row r="142" spans="1:14" ht="15" customHeight="1" thickBot="1">
      <c r="A142" s="119"/>
      <c r="B142" s="2"/>
      <c r="C142" s="352" t="s">
        <v>51</v>
      </c>
      <c r="D142" s="355" t="s">
        <v>52</v>
      </c>
      <c r="E142" s="356"/>
      <c r="F142" s="357"/>
      <c r="H142" s="2"/>
      <c r="N142" s="40"/>
    </row>
    <row r="143" spans="1:14" ht="30.75" customHeight="1" thickBot="1">
      <c r="A143" s="119"/>
      <c r="B143" s="2"/>
      <c r="C143" s="354"/>
      <c r="D143" s="142" t="s">
        <v>53</v>
      </c>
      <c r="E143" s="143" t="s">
        <v>54</v>
      </c>
      <c r="F143" s="144" t="s">
        <v>55</v>
      </c>
      <c r="G143" s="117" t="s">
        <v>138</v>
      </c>
      <c r="H143" s="2"/>
      <c r="N143" s="40"/>
    </row>
    <row r="144" spans="1:14" ht="13.5">
      <c r="A144" s="119"/>
      <c r="B144" s="2"/>
      <c r="C144" s="140" t="s">
        <v>56</v>
      </c>
      <c r="D144" s="199">
        <v>18.285714285714285</v>
      </c>
      <c r="E144" s="200">
        <v>15.542857142857143</v>
      </c>
      <c r="F144" s="201">
        <v>14.17142857142857</v>
      </c>
      <c r="G144" s="202">
        <f>+SUM(D144:F144)</f>
        <v>48</v>
      </c>
      <c r="H144" s="2"/>
      <c r="N144" s="40"/>
    </row>
    <row r="145" spans="1:14" ht="14.25" thickBot="1">
      <c r="A145" s="119"/>
      <c r="B145" s="2"/>
      <c r="C145" s="203" t="s">
        <v>57</v>
      </c>
      <c r="D145" s="204">
        <v>21.714285714285715</v>
      </c>
      <c r="E145" s="205">
        <v>18.457142857142856</v>
      </c>
      <c r="F145" s="206">
        <v>16.82857142857143</v>
      </c>
      <c r="G145" s="207">
        <f>SUM(D145:F145)</f>
        <v>57</v>
      </c>
      <c r="H145" s="2"/>
      <c r="N145" s="40"/>
    </row>
    <row r="146" spans="1:14" ht="15" thickBot="1">
      <c r="A146" s="119"/>
      <c r="B146" s="2"/>
      <c r="C146" s="53" t="s">
        <v>79</v>
      </c>
      <c r="D146" s="208">
        <f>SUM(D144:D145)</f>
        <v>40</v>
      </c>
      <c r="E146" s="209">
        <f>SUM(E144:E145)</f>
        <v>34</v>
      </c>
      <c r="F146" s="210">
        <f>SUM(F144:F145)</f>
        <v>31</v>
      </c>
      <c r="G146" s="211">
        <f>SUM(D146:F146)</f>
        <v>105</v>
      </c>
      <c r="H146" s="2"/>
      <c r="N146" s="40"/>
    </row>
    <row r="147" spans="1:14" ht="13.5">
      <c r="A147" s="27"/>
      <c r="N147" s="27"/>
    </row>
    <row r="148" spans="1:14" ht="15.75">
      <c r="A148" s="27"/>
      <c r="B148" s="32"/>
      <c r="C148" s="10" t="s">
        <v>129</v>
      </c>
      <c r="D148" s="32"/>
      <c r="E148" s="32"/>
      <c r="F148" s="32"/>
      <c r="N148" s="27"/>
    </row>
    <row r="149" spans="1:14" ht="14.25" thickBot="1">
      <c r="A149" s="27"/>
      <c r="N149" s="27"/>
    </row>
    <row r="150" spans="1:14" ht="14.25" thickBot="1">
      <c r="A150" s="27"/>
      <c r="C150" s="352" t="s">
        <v>51</v>
      </c>
      <c r="D150" s="355" t="s">
        <v>52</v>
      </c>
      <c r="E150" s="356"/>
      <c r="F150" s="357"/>
      <c r="N150" s="27"/>
    </row>
    <row r="151" spans="1:14" ht="29.25" thickBot="1">
      <c r="A151" s="27"/>
      <c r="C151" s="354"/>
      <c r="D151" s="142" t="s">
        <v>53</v>
      </c>
      <c r="E151" s="143" t="s">
        <v>54</v>
      </c>
      <c r="F151" s="144" t="s">
        <v>55</v>
      </c>
      <c r="G151" s="117" t="s">
        <v>138</v>
      </c>
      <c r="N151" s="27"/>
    </row>
    <row r="152" spans="1:14" ht="13.5">
      <c r="A152" s="27"/>
      <c r="C152" s="140" t="s">
        <v>56</v>
      </c>
      <c r="D152" s="199">
        <f aca="true" t="shared" si="0" ref="D152:F153">+(D104-D144)^2/D144</f>
        <v>0.027901785714285796</v>
      </c>
      <c r="E152" s="199">
        <f t="shared" si="0"/>
        <v>0.4160189075630251</v>
      </c>
      <c r="F152" s="199">
        <f t="shared" si="0"/>
        <v>0.23594470046082966</v>
      </c>
      <c r="G152" s="202">
        <f>+SUM(D152:F152)</f>
        <v>0.6798653937381406</v>
      </c>
      <c r="N152" s="27"/>
    </row>
    <row r="153" spans="1:14" ht="14.25" thickBot="1">
      <c r="A153" s="27"/>
      <c r="C153" s="203" t="s">
        <v>57</v>
      </c>
      <c r="D153" s="199">
        <f t="shared" si="0"/>
        <v>0.023496240601503824</v>
      </c>
      <c r="E153" s="199">
        <f t="shared" si="0"/>
        <v>0.35033171163202176</v>
      </c>
      <c r="F153" s="199">
        <f t="shared" si="0"/>
        <v>0.1986902740722776</v>
      </c>
      <c r="G153" s="207">
        <f>SUM(D153:F153)</f>
        <v>0.5725182263058032</v>
      </c>
      <c r="N153" s="27"/>
    </row>
    <row r="154" spans="1:14" ht="15" thickBot="1">
      <c r="A154" s="27"/>
      <c r="C154" s="53" t="s">
        <v>79</v>
      </c>
      <c r="D154" s="208">
        <f>SUM(D152:D153)</f>
        <v>0.051398026315789616</v>
      </c>
      <c r="E154" s="209">
        <f>SUM(E152:E153)</f>
        <v>0.7663506191950469</v>
      </c>
      <c r="F154" s="210">
        <f>SUM(F152:F153)</f>
        <v>0.4346349745331073</v>
      </c>
      <c r="G154" s="212">
        <f>SUM(D154:F154)</f>
        <v>1.2523836200439438</v>
      </c>
      <c r="N154" s="27"/>
    </row>
    <row r="155" spans="1:14" ht="18" customHeight="1">
      <c r="A155" s="27"/>
      <c r="N155" s="27"/>
    </row>
    <row r="156" spans="1:14" ht="14.25">
      <c r="A156" s="27"/>
      <c r="B156" s="32" t="s">
        <v>125</v>
      </c>
      <c r="N156" s="27"/>
    </row>
    <row r="157" spans="1:14" ht="12" customHeight="1">
      <c r="A157" s="27"/>
      <c r="B157" s="351"/>
      <c r="C157" s="351"/>
      <c r="N157" s="27"/>
    </row>
    <row r="158" spans="1:14" ht="14.25">
      <c r="A158" s="27"/>
      <c r="B158" s="10" t="s">
        <v>126</v>
      </c>
      <c r="N158" s="27"/>
    </row>
    <row r="159" spans="1:14" ht="11.25" customHeight="1">
      <c r="A159" s="27"/>
      <c r="N159" s="27"/>
    </row>
    <row r="160" spans="1:14" ht="19.5" customHeight="1">
      <c r="A160" s="27"/>
      <c r="B160" s="10" t="s">
        <v>101</v>
      </c>
      <c r="N160" s="213"/>
    </row>
    <row r="161" spans="1:14" ht="13.5" customHeight="1" thickBot="1">
      <c r="A161" s="27"/>
      <c r="N161" s="27"/>
    </row>
    <row r="162" spans="1:14" ht="21" customHeight="1" thickBot="1">
      <c r="A162" s="27"/>
      <c r="B162" s="10" t="s">
        <v>127</v>
      </c>
      <c r="G162" s="348" t="s">
        <v>205</v>
      </c>
      <c r="H162" s="349"/>
      <c r="I162" s="349"/>
      <c r="J162" s="349"/>
      <c r="K162" s="349"/>
      <c r="L162" s="350"/>
      <c r="N162" s="27"/>
    </row>
    <row r="163" spans="1:14" ht="14.25">
      <c r="A163" s="27"/>
      <c r="N163" s="27"/>
    </row>
    <row r="164" spans="1:14" ht="18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</row>
  </sheetData>
  <sheetProtection/>
  <mergeCells count="14">
    <mergeCell ref="G162:L162"/>
    <mergeCell ref="B63:F63"/>
    <mergeCell ref="C102:C103"/>
    <mergeCell ref="D102:F102"/>
    <mergeCell ref="G132:I132"/>
    <mergeCell ref="C142:C143"/>
    <mergeCell ref="D142:F142"/>
    <mergeCell ref="B157:C157"/>
    <mergeCell ref="C150:C151"/>
    <mergeCell ref="D150:F150"/>
    <mergeCell ref="A1:N1"/>
    <mergeCell ref="F17:H17"/>
    <mergeCell ref="E17:E18"/>
    <mergeCell ref="A28:N28"/>
  </mergeCells>
  <printOptions/>
  <pageMargins left="0.3" right="0.37" top="0.56" bottom="0.44" header="0.5" footer="0.5"/>
  <pageSetup horizontalDpi="600" verticalDpi="600" orientation="portrait" paperSize="9" scale="67" r:id="rId26"/>
  <rowBreaks count="2" manualBreakCount="2">
    <brk id="27" max="13" man="1"/>
    <brk id="99" max="13" man="1"/>
  </rowBreaks>
  <drawing r:id="rId25"/>
  <legacyDrawing r:id="rId24"/>
  <oleObjects>
    <oleObject progId="Equation.3" shapeId="204214" r:id="rId1"/>
    <oleObject progId="Equation.3" shapeId="206881" r:id="rId2"/>
    <oleObject progId="Equation.3" shapeId="249387" r:id="rId3"/>
    <oleObject progId="Equation.3" shapeId="268750" r:id="rId4"/>
    <oleObject progId="Equation.3" shapeId="269376" r:id="rId5"/>
    <oleObject progId="Equation.3" shapeId="79542" r:id="rId6"/>
    <oleObject progId="Equation.3" shapeId="105943" r:id="rId7"/>
    <oleObject progId="Equation.3" shapeId="313763" r:id="rId8"/>
    <oleObject progId="Equation.3" shapeId="414138" r:id="rId9"/>
    <oleObject progId="Equation.3" shapeId="423130" r:id="rId10"/>
    <oleObject progId="Equation.3" shapeId="669273" r:id="rId11"/>
    <oleObject progId="Equation.3" shapeId="688176" r:id="rId12"/>
    <oleObject progId="Equation.3" shapeId="740037" r:id="rId13"/>
    <oleObject progId="Equation.3" shapeId="749885" r:id="rId14"/>
    <oleObject progId="Equation.3" shapeId="757473" r:id="rId15"/>
    <oleObject progId="Equation.3" shapeId="1414886" r:id="rId16"/>
    <oleObject progId="Equation.3" shapeId="1474696" r:id="rId17"/>
    <oleObject progId="Equation.3" shapeId="1481051" r:id="rId18"/>
    <oleObject progId="Equation.3" shapeId="1482890" r:id="rId19"/>
    <oleObject progId="Equation.3" shapeId="1485690" r:id="rId20"/>
    <oleObject progId="Equation.3" shapeId="1488006" r:id="rId21"/>
    <oleObject progId="Equation.3" shapeId="1970181" r:id="rId22"/>
    <oleObject progId="Equation.3" shapeId="1975890" r:id="rId2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="88" zoomScaleNormal="88" zoomScalePageLayoutView="0" workbookViewId="0" topLeftCell="A60">
      <selection activeCell="O43" sqref="O43"/>
    </sheetView>
  </sheetViews>
  <sheetFormatPr defaultColWidth="9.140625" defaultRowHeight="12.75"/>
  <cols>
    <col min="1" max="1" width="4.7109375" style="51" customWidth="1"/>
    <col min="2" max="2" width="9.140625" style="10" customWidth="1"/>
    <col min="3" max="3" width="13.57421875" style="10" customWidth="1"/>
    <col min="4" max="4" width="16.140625" style="10" customWidth="1"/>
    <col min="5" max="5" width="17.28125" style="10" customWidth="1"/>
    <col min="6" max="6" width="9.421875" style="10" bestFit="1" customWidth="1"/>
    <col min="7" max="9" width="9.140625" style="10" customWidth="1"/>
    <col min="10" max="10" width="10.00390625" style="10" bestFit="1" customWidth="1"/>
    <col min="11" max="11" width="9.140625" style="10" customWidth="1"/>
    <col min="12" max="12" width="9.8515625" style="10" bestFit="1" customWidth="1"/>
    <col min="13" max="13" width="10.8515625" style="10" customWidth="1"/>
    <col min="14" max="14" width="4.7109375" style="10" customWidth="1"/>
    <col min="15" max="16384" width="9.140625" style="10" customWidth="1"/>
  </cols>
  <sheetData>
    <row r="1" spans="1:14" ht="25.5" customHeight="1">
      <c r="A1" s="341" t="s">
        <v>334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1:14" ht="13.5">
      <c r="A2" s="47"/>
      <c r="N2" s="15"/>
    </row>
    <row r="3" spans="1:14" ht="13.5">
      <c r="A3" s="47"/>
      <c r="B3" s="358" t="s">
        <v>63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N3" s="15"/>
    </row>
    <row r="4" spans="1:14" ht="13.5">
      <c r="A4" s="47"/>
      <c r="B4" s="358" t="s">
        <v>64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N4" s="15"/>
    </row>
    <row r="5" spans="1:14" ht="13.5">
      <c r="A5" s="47"/>
      <c r="B5" s="358" t="s">
        <v>65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N5" s="15"/>
    </row>
    <row r="6" spans="1:14" ht="13.5">
      <c r="A6" s="47"/>
      <c r="B6" s="358" t="s">
        <v>66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N6" s="15"/>
    </row>
    <row r="7" spans="1:14" ht="13.5">
      <c r="A7" s="47"/>
      <c r="B7" s="351" t="s">
        <v>10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N7" s="15"/>
    </row>
    <row r="8" spans="1:14" ht="13.5">
      <c r="A8" s="47"/>
      <c r="N8" s="15"/>
    </row>
    <row r="9" spans="1:14" ht="13.5">
      <c r="A9" s="47"/>
      <c r="B9" s="358" t="s">
        <v>67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N9" s="15"/>
    </row>
    <row r="10" spans="1:14" ht="13.5">
      <c r="A10" s="47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N10" s="15"/>
    </row>
    <row r="11" spans="1:14" ht="13.5">
      <c r="A11" s="47"/>
      <c r="B11" s="363" t="s">
        <v>11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N11" s="15"/>
    </row>
    <row r="12" spans="1:14" ht="13.5">
      <c r="A12" s="47"/>
      <c r="N12" s="15"/>
    </row>
    <row r="13" spans="1:15" ht="13.5">
      <c r="A13" s="47"/>
      <c r="B13" s="32" t="s">
        <v>68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5"/>
      <c r="O13" s="32"/>
    </row>
    <row r="14" spans="1:15" ht="13.5">
      <c r="A14" s="47"/>
      <c r="B14" s="32" t="s">
        <v>12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5"/>
      <c r="O14" s="32"/>
    </row>
    <row r="15" spans="1:15" ht="13.5">
      <c r="A15" s="47"/>
      <c r="B15" s="32" t="s">
        <v>13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5"/>
      <c r="O15" s="32"/>
    </row>
    <row r="16" spans="1:15" ht="24" customHeight="1">
      <c r="A16" s="47"/>
      <c r="B16" s="33" t="s">
        <v>39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6"/>
      <c r="O16" s="33"/>
    </row>
    <row r="17" spans="1:15" ht="14.25">
      <c r="A17" s="47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5"/>
      <c r="O17" s="32"/>
    </row>
    <row r="18" spans="1:14" ht="13.5">
      <c r="A18" s="47"/>
      <c r="N18" s="15"/>
    </row>
    <row r="19" spans="1:15" ht="13.5">
      <c r="A19" s="47"/>
      <c r="B19" s="34" t="s">
        <v>69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7"/>
      <c r="O19" s="34"/>
    </row>
    <row r="20" spans="1:15" ht="13.5">
      <c r="A20" s="47"/>
      <c r="B20" s="32" t="s">
        <v>15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5"/>
      <c r="O20" s="32"/>
    </row>
    <row r="21" spans="1:15" ht="14.25" thickBot="1">
      <c r="A21" s="4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8"/>
      <c r="O21" s="2"/>
    </row>
    <row r="22" spans="1:14" ht="14.25" thickBot="1">
      <c r="A22" s="47"/>
      <c r="C22" s="359" t="s">
        <v>16</v>
      </c>
      <c r="D22" s="361" t="s">
        <v>17</v>
      </c>
      <c r="E22" s="362"/>
      <c r="F22" s="359" t="s">
        <v>22</v>
      </c>
      <c r="N22" s="15"/>
    </row>
    <row r="23" spans="1:14" ht="20.25" customHeight="1" thickBot="1">
      <c r="A23" s="47"/>
      <c r="C23" s="360"/>
      <c r="D23" s="4" t="s">
        <v>18</v>
      </c>
      <c r="E23" s="4" t="s">
        <v>19</v>
      </c>
      <c r="F23" s="360"/>
      <c r="N23" s="15"/>
    </row>
    <row r="24" spans="1:14" ht="13.5" customHeight="1" thickBot="1">
      <c r="A24" s="47"/>
      <c r="C24" s="17" t="s">
        <v>21</v>
      </c>
      <c r="D24" s="18">
        <v>20</v>
      </c>
      <c r="E24" s="19">
        <v>388</v>
      </c>
      <c r="F24" s="20">
        <f>SUM(D24:E24)</f>
        <v>408</v>
      </c>
      <c r="N24" s="15"/>
    </row>
    <row r="25" spans="1:14" ht="14.25" thickBot="1">
      <c r="A25" s="47"/>
      <c r="C25" s="21" t="s">
        <v>20</v>
      </c>
      <c r="D25" s="22">
        <v>28</v>
      </c>
      <c r="E25" s="23">
        <v>527</v>
      </c>
      <c r="F25" s="20">
        <f>SUM(D25:E25)</f>
        <v>555</v>
      </c>
      <c r="N25" s="15"/>
    </row>
    <row r="26" spans="1:14" ht="14.25" thickBot="1">
      <c r="A26" s="47"/>
      <c r="C26" s="24" t="s">
        <v>35</v>
      </c>
      <c r="D26" s="25">
        <v>44</v>
      </c>
      <c r="E26" s="26">
        <v>322</v>
      </c>
      <c r="F26" s="20">
        <f>D26+E26</f>
        <v>366</v>
      </c>
      <c r="N26" s="15"/>
    </row>
    <row r="27" spans="1:14" ht="14.25" thickBot="1">
      <c r="A27" s="47"/>
      <c r="C27" s="5" t="s">
        <v>22</v>
      </c>
      <c r="D27" s="20">
        <f>SUM(D24:D26)</f>
        <v>92</v>
      </c>
      <c r="E27" s="20">
        <f>SUM(E24:E26)</f>
        <v>1237</v>
      </c>
      <c r="F27" s="20">
        <f>SUM(D27:E27)</f>
        <v>1329</v>
      </c>
      <c r="N27" s="15"/>
    </row>
    <row r="28" spans="1:14" ht="13.5" customHeight="1">
      <c r="A28" s="47"/>
      <c r="N28" s="15"/>
    </row>
    <row r="29" spans="1:15" ht="13.5">
      <c r="A29" s="47"/>
      <c r="B29" s="32" t="s">
        <v>70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5"/>
      <c r="O29" s="32"/>
    </row>
    <row r="30" spans="1:15" ht="13.5">
      <c r="A30" s="47"/>
      <c r="B30" s="32" t="s">
        <v>71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5"/>
      <c r="O30" s="32"/>
    </row>
    <row r="31" spans="1:15" ht="13.5">
      <c r="A31" s="47"/>
      <c r="B31" s="32" t="s">
        <v>23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5"/>
      <c r="O31" s="32"/>
    </row>
    <row r="32" spans="1:15" ht="13.5">
      <c r="A32" s="47"/>
      <c r="B32" s="32" t="s">
        <v>24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5"/>
      <c r="O32" s="32"/>
    </row>
    <row r="33" spans="1:14" ht="13.5">
      <c r="A33" s="47"/>
      <c r="B33" s="32" t="s">
        <v>72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5"/>
    </row>
    <row r="34" spans="1:15" ht="13.5">
      <c r="A34" s="47"/>
      <c r="B34" s="32" t="s">
        <v>73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5"/>
      <c r="O34" s="32"/>
    </row>
    <row r="35" spans="1:14" ht="13.5">
      <c r="A35" s="47"/>
      <c r="N35" s="15"/>
    </row>
    <row r="36" spans="1:14" ht="13.5">
      <c r="A36" s="4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22.5" customHeight="1">
      <c r="A37" s="347" t="s">
        <v>80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</row>
    <row r="38" spans="1:14" ht="13.5">
      <c r="A38" s="48"/>
      <c r="N38" s="27"/>
    </row>
    <row r="39" spans="1:14" ht="15">
      <c r="A39" s="49" t="s">
        <v>81</v>
      </c>
      <c r="N39" s="27"/>
    </row>
    <row r="40" spans="1:14" ht="15">
      <c r="A40" s="49"/>
      <c r="N40" s="27"/>
    </row>
    <row r="41" spans="1:14" ht="13.5">
      <c r="A41" s="50" t="s">
        <v>26</v>
      </c>
      <c r="B41" s="351" t="s">
        <v>25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N41" s="27"/>
    </row>
    <row r="42" spans="1:14" ht="14.25" thickBot="1">
      <c r="A42" s="50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N42" s="27"/>
    </row>
    <row r="43" spans="1:14" ht="14.25" thickBot="1">
      <c r="A43" s="48"/>
      <c r="D43" s="88" t="s">
        <v>84</v>
      </c>
      <c r="E43" s="89" t="s">
        <v>85</v>
      </c>
      <c r="F43" s="87">
        <f>1-0.25</f>
        <v>0.75</v>
      </c>
      <c r="N43" s="27"/>
    </row>
    <row r="44" spans="1:14" ht="18.75" customHeight="1">
      <c r="A44" s="48"/>
      <c r="N44" s="27"/>
    </row>
    <row r="45" spans="1:14" ht="13.5">
      <c r="A45" s="50" t="s">
        <v>27</v>
      </c>
      <c r="B45" s="351" t="s">
        <v>50</v>
      </c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N45" s="27"/>
    </row>
    <row r="46" spans="1:14" ht="13.5">
      <c r="A46" s="48"/>
      <c r="B46" s="351" t="s">
        <v>28</v>
      </c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N46" s="27"/>
    </row>
    <row r="47" spans="1:14" ht="13.5">
      <c r="A47" s="48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N47" s="27"/>
    </row>
    <row r="48" spans="1:14" ht="13.5">
      <c r="A48" s="48"/>
      <c r="B48" s="2" t="s">
        <v>86</v>
      </c>
      <c r="C48" s="1"/>
      <c r="D48" s="1"/>
      <c r="E48" s="1"/>
      <c r="F48" s="1"/>
      <c r="H48" s="1"/>
      <c r="I48" s="1"/>
      <c r="J48" s="1"/>
      <c r="K48" s="1"/>
      <c r="L48" s="1"/>
      <c r="N48" s="27"/>
    </row>
    <row r="49" spans="1:14" ht="13.5">
      <c r="A49" s="48"/>
      <c r="B49" s="2" t="s">
        <v>161</v>
      </c>
      <c r="C49" s="1"/>
      <c r="D49" s="1"/>
      <c r="E49" s="1"/>
      <c r="F49" s="1"/>
      <c r="G49" s="1"/>
      <c r="H49" s="2"/>
      <c r="I49" s="2" t="s">
        <v>162</v>
      </c>
      <c r="K49" s="1"/>
      <c r="L49" s="1"/>
      <c r="N49" s="27"/>
    </row>
    <row r="50" spans="1:14" ht="14.25">
      <c r="A50" s="48"/>
      <c r="B50" s="2" t="s">
        <v>87</v>
      </c>
      <c r="C50" s="1"/>
      <c r="D50" s="1"/>
      <c r="E50" s="1"/>
      <c r="F50" s="1"/>
      <c r="G50" s="2" t="s">
        <v>163</v>
      </c>
      <c r="H50" s="1"/>
      <c r="I50" s="1"/>
      <c r="J50" s="1"/>
      <c r="K50" s="1"/>
      <c r="L50" s="1"/>
      <c r="N50" s="27"/>
    </row>
    <row r="51" spans="1:14" ht="19.5" customHeight="1">
      <c r="A51" s="48"/>
      <c r="B51" s="10" t="s">
        <v>89</v>
      </c>
      <c r="D51" s="1"/>
      <c r="E51" s="54"/>
      <c r="F51" s="2" t="s">
        <v>90</v>
      </c>
      <c r="G51" s="1"/>
      <c r="H51" s="1"/>
      <c r="I51" s="1"/>
      <c r="J51" s="1"/>
      <c r="K51" s="1"/>
      <c r="L51" s="1"/>
      <c r="N51" s="27"/>
    </row>
    <row r="52" spans="1:14" ht="14.25">
      <c r="A52" s="48"/>
      <c r="B52" s="2" t="s">
        <v>91</v>
      </c>
      <c r="C52" s="1"/>
      <c r="D52" s="1"/>
      <c r="E52" s="1"/>
      <c r="F52" s="1"/>
      <c r="G52" s="1"/>
      <c r="H52" s="1"/>
      <c r="I52" s="1"/>
      <c r="J52" s="1"/>
      <c r="K52" s="1"/>
      <c r="L52" s="1"/>
      <c r="N52" s="27"/>
    </row>
    <row r="53" spans="1:14" ht="15" thickBot="1">
      <c r="A53" s="48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N53" s="27"/>
    </row>
    <row r="54" spans="1:14" ht="14.25" thickBot="1">
      <c r="A54" s="48"/>
      <c r="B54" s="2"/>
      <c r="C54" s="84" t="s">
        <v>88</v>
      </c>
      <c r="D54" s="85"/>
      <c r="E54" s="85"/>
      <c r="F54" s="85"/>
      <c r="G54" s="85">
        <f>+NORMDIST(36.5,36,SQRT(72/50),TRUE)</f>
        <v>0.6615388804893103</v>
      </c>
      <c r="H54" s="85">
        <f>+NORMDIST(34,36,SQRT(72/50),TRUE)</f>
        <v>0.047790352272814696</v>
      </c>
      <c r="I54" s="86" t="s">
        <v>164</v>
      </c>
      <c r="J54" s="87"/>
      <c r="K54" s="1"/>
      <c r="L54" s="1"/>
      <c r="N54" s="27"/>
    </row>
    <row r="55" spans="1:14" ht="13.5">
      <c r="A55" s="48"/>
      <c r="N55" s="27"/>
    </row>
    <row r="56" spans="1:14" ht="13.5">
      <c r="A56" s="48"/>
      <c r="N56" s="27"/>
    </row>
    <row r="57" spans="1:14" ht="15">
      <c r="A57" s="52" t="s">
        <v>82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N57" s="27"/>
    </row>
    <row r="58" spans="1:14" ht="9" customHeight="1" thickBot="1">
      <c r="A58" s="5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N58" s="27"/>
    </row>
    <row r="59" spans="1:14" ht="14.25" thickBot="1">
      <c r="A59" s="50"/>
      <c r="B59" s="3"/>
      <c r="C59" s="3"/>
      <c r="D59" s="3"/>
      <c r="E59" s="3"/>
      <c r="F59" s="3"/>
      <c r="G59" s="3"/>
      <c r="H59" s="3"/>
      <c r="I59" s="3"/>
      <c r="J59" s="3"/>
      <c r="K59" s="3"/>
      <c r="L59" s="56" t="s">
        <v>94</v>
      </c>
      <c r="N59" s="27"/>
    </row>
    <row r="60" spans="1:14" ht="18.75" customHeight="1">
      <c r="A60" s="50"/>
      <c r="B60" s="3"/>
      <c r="C60" s="64" t="s">
        <v>92</v>
      </c>
      <c r="D60" s="62">
        <v>172</v>
      </c>
      <c r="E60" s="57">
        <v>195</v>
      </c>
      <c r="F60" s="57">
        <v>185</v>
      </c>
      <c r="G60" s="57">
        <v>162</v>
      </c>
      <c r="H60" s="57">
        <v>213</v>
      </c>
      <c r="I60" s="57">
        <v>185</v>
      </c>
      <c r="J60" s="57">
        <v>191</v>
      </c>
      <c r="K60" s="59">
        <v>175</v>
      </c>
      <c r="L60" s="60">
        <f>SUM(D60:K60)</f>
        <v>1478</v>
      </c>
      <c r="N60" s="27"/>
    </row>
    <row r="61" spans="1:14" ht="18.75" customHeight="1" thickBot="1">
      <c r="A61" s="50"/>
      <c r="B61" s="3"/>
      <c r="C61" s="65" t="s">
        <v>93</v>
      </c>
      <c r="D61" s="66">
        <f>+(D60-$D$66)^2</f>
        <v>162.5625</v>
      </c>
      <c r="E61" s="67">
        <f aca="true" t="shared" si="0" ref="E61:K61">+(E60-$D$66)^2</f>
        <v>105.0625</v>
      </c>
      <c r="F61" s="67">
        <f t="shared" si="0"/>
        <v>0.0625</v>
      </c>
      <c r="G61" s="67">
        <f t="shared" si="0"/>
        <v>517.5625</v>
      </c>
      <c r="H61" s="67">
        <f t="shared" si="0"/>
        <v>798.0625</v>
      </c>
      <c r="I61" s="67">
        <f t="shared" si="0"/>
        <v>0.0625</v>
      </c>
      <c r="J61" s="67">
        <f t="shared" si="0"/>
        <v>39.0625</v>
      </c>
      <c r="K61" s="68">
        <f t="shared" si="0"/>
        <v>95.0625</v>
      </c>
      <c r="L61" s="61">
        <f>SUM(D61:K61)</f>
        <v>1717.5</v>
      </c>
      <c r="N61" s="27"/>
    </row>
    <row r="62" spans="1:14" ht="13.5">
      <c r="A62" s="50"/>
      <c r="B62" s="3"/>
      <c r="C62" s="43"/>
      <c r="D62" s="44"/>
      <c r="E62" s="44"/>
      <c r="F62" s="44"/>
      <c r="G62" s="44"/>
      <c r="H62" s="44"/>
      <c r="I62" s="44"/>
      <c r="J62" s="44"/>
      <c r="K62" s="44"/>
      <c r="L62" s="45"/>
      <c r="N62" s="27"/>
    </row>
    <row r="63" spans="1:14" ht="6.75" customHeight="1">
      <c r="A63" s="5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N63" s="27"/>
    </row>
    <row r="64" spans="1:15" ht="14.25">
      <c r="A64" s="50" t="s">
        <v>26</v>
      </c>
      <c r="B64" s="32" t="s">
        <v>336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9"/>
      <c r="O64" s="32"/>
    </row>
    <row r="65" spans="1:14" ht="13.5">
      <c r="A65" s="48"/>
      <c r="N65" s="27"/>
    </row>
    <row r="66" spans="1:14" ht="15">
      <c r="A66" s="48"/>
      <c r="C66" s="70" t="s">
        <v>95</v>
      </c>
      <c r="D66" s="1">
        <f>+L60/I66</f>
        <v>184.75</v>
      </c>
      <c r="E66" s="70" t="s">
        <v>96</v>
      </c>
      <c r="F66" s="1">
        <f>+L61/(I66-1)</f>
        <v>245.35714285714286</v>
      </c>
      <c r="H66" s="46" t="s">
        <v>40</v>
      </c>
      <c r="I66" s="1">
        <v>8</v>
      </c>
      <c r="N66" s="27"/>
    </row>
    <row r="67" spans="1:14" ht="9" customHeight="1">
      <c r="A67" s="48"/>
      <c r="N67" s="27"/>
    </row>
    <row r="68" spans="1:14" ht="15">
      <c r="A68" s="48"/>
      <c r="C68" s="7" t="s">
        <v>98</v>
      </c>
      <c r="D68" s="1"/>
      <c r="E68" s="73" t="s">
        <v>100</v>
      </c>
      <c r="F68" s="1">
        <v>180</v>
      </c>
      <c r="H68" s="74" t="s">
        <v>102</v>
      </c>
      <c r="I68" s="1">
        <v>0.01</v>
      </c>
      <c r="N68" s="27"/>
    </row>
    <row r="69" spans="1:14" ht="15">
      <c r="A69" s="48"/>
      <c r="C69" s="7" t="s">
        <v>99</v>
      </c>
      <c r="D69" s="1"/>
      <c r="N69" s="27"/>
    </row>
    <row r="70" spans="1:14" ht="14.25">
      <c r="A70" s="48"/>
      <c r="N70" s="27"/>
    </row>
    <row r="71" spans="1:14" ht="14.25">
      <c r="A71" s="48"/>
      <c r="B71" s="32" t="s">
        <v>97</v>
      </c>
      <c r="C71" s="32"/>
      <c r="D71" s="32"/>
      <c r="E71" s="72" t="s">
        <v>33</v>
      </c>
      <c r="F71" s="9">
        <f>(D66-F68)/((F66/8)^0.5)</f>
        <v>0.8577075841185268</v>
      </c>
      <c r="N71" s="27"/>
    </row>
    <row r="72" spans="1:14" ht="14.25">
      <c r="A72" s="48"/>
      <c r="B72" s="2"/>
      <c r="C72" s="2"/>
      <c r="D72" s="2"/>
      <c r="E72" s="2"/>
      <c r="F72" s="71"/>
      <c r="N72" s="27"/>
    </row>
    <row r="73" spans="1:14" ht="14.25">
      <c r="A73" s="48"/>
      <c r="N73" s="27"/>
    </row>
    <row r="74" spans="1:14" ht="15">
      <c r="A74" s="48"/>
      <c r="B74" s="10" t="s">
        <v>7</v>
      </c>
      <c r="N74" s="27"/>
    </row>
    <row r="75" spans="1:14" ht="20.25" customHeight="1" thickBot="1">
      <c r="A75" s="48"/>
      <c r="B75" s="10" t="s">
        <v>101</v>
      </c>
      <c r="N75" s="27"/>
    </row>
    <row r="76" spans="1:14" ht="21.75" customHeight="1" thickBot="1">
      <c r="A76" s="48"/>
      <c r="B76" s="32" t="s">
        <v>120</v>
      </c>
      <c r="C76" s="32"/>
      <c r="D76" s="32"/>
      <c r="E76" s="32"/>
      <c r="F76" s="348" t="s">
        <v>110</v>
      </c>
      <c r="G76" s="349"/>
      <c r="H76" s="349"/>
      <c r="I76" s="349"/>
      <c r="J76" s="350"/>
      <c r="K76" s="32"/>
      <c r="L76" s="32"/>
      <c r="M76" s="32"/>
      <c r="N76" s="39"/>
    </row>
    <row r="77" spans="1:14" ht="21.75" customHeight="1">
      <c r="A77" s="48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9"/>
    </row>
    <row r="78" spans="1:15" ht="13.5">
      <c r="A78" s="50" t="s">
        <v>27</v>
      </c>
      <c r="B78" s="32" t="s">
        <v>29</v>
      </c>
      <c r="C78" s="32"/>
      <c r="D78" s="32"/>
      <c r="E78" s="32"/>
      <c r="F78" s="32"/>
      <c r="G78" s="32"/>
      <c r="H78" s="32"/>
      <c r="I78" s="32"/>
      <c r="J78" s="7" t="s">
        <v>8</v>
      </c>
      <c r="K78" s="1">
        <v>7</v>
      </c>
      <c r="L78" s="74" t="s">
        <v>102</v>
      </c>
      <c r="M78" s="1">
        <v>0.05</v>
      </c>
      <c r="N78" s="39"/>
      <c r="O78" s="32"/>
    </row>
    <row r="79" spans="1:15" ht="14.25">
      <c r="A79" s="5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0"/>
      <c r="O79" s="2"/>
    </row>
    <row r="80" spans="1:14" ht="18.75">
      <c r="A80" s="48"/>
      <c r="B80" s="10" t="s">
        <v>103</v>
      </c>
      <c r="J80" s="69" t="s">
        <v>393</v>
      </c>
      <c r="K80" s="75">
        <f>+TINV(M78,K78)</f>
        <v>2.3646225599804893</v>
      </c>
      <c r="N80" s="27"/>
    </row>
    <row r="81" spans="1:14" ht="14.25">
      <c r="A81" s="48"/>
      <c r="C81" s="11"/>
      <c r="E81" s="1"/>
      <c r="J81" s="11"/>
      <c r="M81" s="11"/>
      <c r="N81" s="27"/>
    </row>
    <row r="82" spans="1:14" ht="14.25" thickBot="1">
      <c r="A82" s="48"/>
      <c r="C82" s="11"/>
      <c r="N82" s="27"/>
    </row>
    <row r="83" spans="1:14" ht="15">
      <c r="A83" s="48"/>
      <c r="C83" s="80" t="s">
        <v>104</v>
      </c>
      <c r="D83" s="81">
        <f>+D66-K80*SQRT(F66/I66)</f>
        <v>171.654677808754</v>
      </c>
      <c r="N83" s="27"/>
    </row>
    <row r="84" spans="1:14" ht="15" thickBot="1">
      <c r="A84" s="48"/>
      <c r="C84" s="82" t="s">
        <v>105</v>
      </c>
      <c r="D84" s="83">
        <f>+D66+K80*SQRT(F66/I66)</f>
        <v>197.845322191246</v>
      </c>
      <c r="N84" s="27"/>
    </row>
    <row r="85" spans="1:14" ht="24.75" customHeight="1">
      <c r="A85" s="48"/>
      <c r="C85" s="11"/>
      <c r="N85" s="27"/>
    </row>
    <row r="86" spans="1:15" ht="13.5">
      <c r="A86" s="50" t="s">
        <v>31</v>
      </c>
      <c r="B86" s="32" t="s">
        <v>30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9"/>
      <c r="O86" s="32"/>
    </row>
    <row r="87" spans="1:15" ht="21" customHeight="1">
      <c r="A87" s="48"/>
      <c r="B87" s="32" t="s">
        <v>34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9"/>
      <c r="O87" s="32"/>
    </row>
    <row r="88" spans="1:15" ht="18.75" customHeight="1">
      <c r="A88" s="48"/>
      <c r="B88" s="32" t="s">
        <v>32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9"/>
      <c r="O88" s="32"/>
    </row>
    <row r="89" spans="1:15" ht="13.5">
      <c r="A89" s="4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40"/>
      <c r="O89" s="2"/>
    </row>
    <row r="90" spans="1:15" ht="15">
      <c r="A90" s="48"/>
      <c r="B90" s="2" t="s">
        <v>183</v>
      </c>
      <c r="C90" s="2"/>
      <c r="D90" s="2"/>
      <c r="F90" s="2"/>
      <c r="G90" s="2"/>
      <c r="H90" s="2"/>
      <c r="I90" s="2"/>
      <c r="J90" s="2"/>
      <c r="K90" s="2"/>
      <c r="L90" s="2"/>
      <c r="M90" s="2"/>
      <c r="N90" s="40"/>
      <c r="O90" s="2"/>
    </row>
    <row r="91" spans="1:15" ht="13.5">
      <c r="A91" s="4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40"/>
      <c r="O91" s="2"/>
    </row>
    <row r="92" spans="1:15" ht="13.5">
      <c r="A92" s="48"/>
      <c r="B92" s="2"/>
      <c r="C92" s="1" t="s">
        <v>106</v>
      </c>
      <c r="D92" s="1"/>
      <c r="E92" s="1"/>
      <c r="F92" s="2"/>
      <c r="G92" s="2"/>
      <c r="H92" s="2"/>
      <c r="I92" s="7" t="s">
        <v>107</v>
      </c>
      <c r="J92" s="75">
        <f>+(193-190)/SQRT(260/8)</f>
        <v>0.5262348115842176</v>
      </c>
      <c r="K92" s="2"/>
      <c r="L92" s="2"/>
      <c r="M92" s="2"/>
      <c r="N92" s="40"/>
      <c r="O92" s="2"/>
    </row>
    <row r="93" spans="1:15" ht="13.5">
      <c r="A93" s="48"/>
      <c r="B93" s="2"/>
      <c r="C93" s="2"/>
      <c r="D93" s="2"/>
      <c r="E93" s="2"/>
      <c r="F93" s="2"/>
      <c r="G93" s="2"/>
      <c r="H93" s="2"/>
      <c r="I93" s="7" t="s">
        <v>108</v>
      </c>
      <c r="J93" s="77">
        <f>+NORMSDIST(J92)</f>
        <v>0.7006374651735765</v>
      </c>
      <c r="K93" s="2"/>
      <c r="L93" s="2"/>
      <c r="M93" s="2"/>
      <c r="N93" s="40"/>
      <c r="O93" s="2"/>
    </row>
    <row r="94" spans="1:15" ht="14.25" thickBot="1">
      <c r="A94" s="48"/>
      <c r="B94" s="2"/>
      <c r="E94" s="2"/>
      <c r="F94" s="2"/>
      <c r="G94" s="2"/>
      <c r="H94" s="2"/>
      <c r="I94" s="2"/>
      <c r="J94" s="2"/>
      <c r="K94" s="2"/>
      <c r="L94" s="2"/>
      <c r="M94" s="2"/>
      <c r="N94" s="40"/>
      <c r="O94" s="2"/>
    </row>
    <row r="95" spans="1:15" ht="14.25" thickBot="1">
      <c r="A95" s="48"/>
      <c r="B95" s="2"/>
      <c r="E95" s="78" t="s">
        <v>109</v>
      </c>
      <c r="F95" s="79">
        <f>1-J93</f>
        <v>0.2993625348264235</v>
      </c>
      <c r="G95" s="2"/>
      <c r="H95" s="2"/>
      <c r="I95" s="2"/>
      <c r="J95" s="2"/>
      <c r="K95" s="2"/>
      <c r="L95" s="2"/>
      <c r="M95" s="2"/>
      <c r="N95" s="40"/>
      <c r="O95" s="2"/>
    </row>
    <row r="96" spans="1:15" ht="13.5">
      <c r="A96" s="48"/>
      <c r="B96" s="2"/>
      <c r="E96" s="76"/>
      <c r="F96" s="2"/>
      <c r="G96" s="2"/>
      <c r="H96" s="2"/>
      <c r="I96" s="2"/>
      <c r="J96" s="2"/>
      <c r="K96" s="2"/>
      <c r="L96" s="2"/>
      <c r="M96" s="2"/>
      <c r="N96" s="40"/>
      <c r="O96" s="2"/>
    </row>
    <row r="97" spans="1:15" ht="13.5">
      <c r="A97" s="48"/>
      <c r="B97" s="2" t="s">
        <v>184</v>
      </c>
      <c r="E97" s="76"/>
      <c r="F97" s="2"/>
      <c r="G97" s="2"/>
      <c r="H97" s="2"/>
      <c r="I97" s="2"/>
      <c r="J97" s="2"/>
      <c r="K97" s="2"/>
      <c r="L97" s="2"/>
      <c r="M97" s="2"/>
      <c r="N97" s="40"/>
      <c r="O97" s="2"/>
    </row>
    <row r="98" spans="1:15" ht="13.5">
      <c r="A98" s="48"/>
      <c r="B98" s="2" t="s">
        <v>185</v>
      </c>
      <c r="E98" s="76"/>
      <c r="F98" s="2"/>
      <c r="G98" s="2"/>
      <c r="H98" s="2"/>
      <c r="I98" s="2"/>
      <c r="J98" s="2"/>
      <c r="K98" s="2"/>
      <c r="L98" s="2"/>
      <c r="M98" s="2"/>
      <c r="N98" s="40"/>
      <c r="O98" s="2"/>
    </row>
    <row r="99" spans="1:15" ht="13.5">
      <c r="A99" s="48"/>
      <c r="B99" s="2" t="s">
        <v>186</v>
      </c>
      <c r="E99" s="76"/>
      <c r="F99" s="2"/>
      <c r="G99" s="2"/>
      <c r="H99" s="2"/>
      <c r="I99" s="2"/>
      <c r="J99" s="2"/>
      <c r="K99" s="2"/>
      <c r="L99" s="2"/>
      <c r="M99" s="2"/>
      <c r="N99" s="40"/>
      <c r="O99" s="2"/>
    </row>
    <row r="100" spans="1:14" ht="13.5">
      <c r="A100" s="48"/>
      <c r="N100" s="27"/>
    </row>
    <row r="101" spans="1:14" ht="15">
      <c r="A101" s="52" t="s">
        <v>83</v>
      </c>
      <c r="N101" s="27"/>
    </row>
    <row r="102" spans="1:14" ht="13.5">
      <c r="A102" s="48"/>
      <c r="N102" s="27"/>
    </row>
    <row r="103" spans="1:15" ht="13.5">
      <c r="A103" s="50"/>
      <c r="B103" s="32" t="s">
        <v>36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41"/>
      <c r="O103" s="34"/>
    </row>
    <row r="104" spans="1:15" ht="14.25" thickBot="1">
      <c r="A104" s="50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42"/>
      <c r="O104" s="1"/>
    </row>
    <row r="105" spans="1:15" ht="14.25" thickBot="1">
      <c r="A105" s="50"/>
      <c r="B105" s="2"/>
      <c r="C105" s="368" t="s">
        <v>16</v>
      </c>
      <c r="D105" s="370" t="s">
        <v>17</v>
      </c>
      <c r="E105" s="371"/>
      <c r="F105" s="368" t="s">
        <v>22</v>
      </c>
      <c r="G105" s="1"/>
      <c r="H105" s="1"/>
      <c r="I105" s="1"/>
      <c r="J105" s="1"/>
      <c r="K105" s="1"/>
      <c r="L105" s="1"/>
      <c r="M105" s="1"/>
      <c r="N105" s="42"/>
      <c r="O105" s="1"/>
    </row>
    <row r="106" spans="1:15" ht="14.25" thickBot="1">
      <c r="A106" s="50"/>
      <c r="B106" s="2"/>
      <c r="C106" s="369"/>
      <c r="D106" s="13" t="s">
        <v>18</v>
      </c>
      <c r="E106" s="13" t="s">
        <v>19</v>
      </c>
      <c r="F106" s="369"/>
      <c r="G106" s="1"/>
      <c r="H106" s="1"/>
      <c r="I106" s="1"/>
      <c r="J106" s="1"/>
      <c r="K106" s="1"/>
      <c r="L106" s="1"/>
      <c r="M106" s="1"/>
      <c r="N106" s="42"/>
      <c r="O106" s="1"/>
    </row>
    <row r="107" spans="1:15" ht="14.25" thickBot="1">
      <c r="A107" s="50"/>
      <c r="B107" s="2"/>
      <c r="C107" s="28" t="s">
        <v>21</v>
      </c>
      <c r="D107" s="18">
        <v>20</v>
      </c>
      <c r="E107" s="19">
        <v>388</v>
      </c>
      <c r="F107" s="29">
        <f>SUM(D107:E107)</f>
        <v>408</v>
      </c>
      <c r="G107" s="1"/>
      <c r="H107" s="1"/>
      <c r="I107" s="1"/>
      <c r="J107" s="1"/>
      <c r="K107" s="1"/>
      <c r="L107" s="1"/>
      <c r="M107" s="1"/>
      <c r="N107" s="42"/>
      <c r="O107" s="1"/>
    </row>
    <row r="108" spans="1:15" ht="14.25" thickBot="1">
      <c r="A108" s="50"/>
      <c r="B108" s="2"/>
      <c r="C108" s="30" t="s">
        <v>20</v>
      </c>
      <c r="D108" s="22">
        <v>28</v>
      </c>
      <c r="E108" s="23">
        <v>527</v>
      </c>
      <c r="F108" s="29">
        <f>SUM(D108:E108)</f>
        <v>555</v>
      </c>
      <c r="G108" s="1"/>
      <c r="H108" s="1"/>
      <c r="I108" s="1"/>
      <c r="J108" s="1"/>
      <c r="K108" s="1"/>
      <c r="L108" s="1"/>
      <c r="M108" s="1"/>
      <c r="N108" s="42"/>
      <c r="O108" s="1"/>
    </row>
    <row r="109" spans="1:15" ht="14.25" thickBot="1">
      <c r="A109" s="50"/>
      <c r="B109" s="2"/>
      <c r="C109" s="31" t="s">
        <v>35</v>
      </c>
      <c r="D109" s="25">
        <v>44</v>
      </c>
      <c r="E109" s="26">
        <v>322</v>
      </c>
      <c r="F109" s="29">
        <f>D109+E109</f>
        <v>366</v>
      </c>
      <c r="G109" s="1"/>
      <c r="H109" s="1"/>
      <c r="I109" s="1"/>
      <c r="J109" s="1"/>
      <c r="K109" s="1"/>
      <c r="L109" s="1"/>
      <c r="M109" s="1"/>
      <c r="N109" s="42"/>
      <c r="O109" s="1"/>
    </row>
    <row r="110" spans="1:15" ht="14.25" thickBot="1">
      <c r="A110" s="50"/>
      <c r="B110" s="2"/>
      <c r="C110" s="14" t="s">
        <v>22</v>
      </c>
      <c r="D110" s="29">
        <f>SUM(D107:D109)</f>
        <v>92</v>
      </c>
      <c r="E110" s="29">
        <f>SUM(E107:E109)</f>
        <v>1237</v>
      </c>
      <c r="F110" s="29">
        <f>SUM(D110:E110)</f>
        <v>1329</v>
      </c>
      <c r="G110" s="1"/>
      <c r="H110" s="1"/>
      <c r="I110" s="1"/>
      <c r="J110" s="1"/>
      <c r="K110" s="1"/>
      <c r="L110" s="1"/>
      <c r="M110" s="1"/>
      <c r="N110" s="42"/>
      <c r="O110" s="1"/>
    </row>
    <row r="111" spans="1:15" ht="13.5">
      <c r="A111" s="50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2"/>
      <c r="O111" s="1"/>
    </row>
    <row r="112" spans="1:15" ht="13.5">
      <c r="A112" s="50" t="s">
        <v>26</v>
      </c>
      <c r="B112" s="32" t="s">
        <v>74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9"/>
      <c r="O112" s="32"/>
    </row>
    <row r="113" spans="1:15" ht="13.5">
      <c r="A113" s="48"/>
      <c r="B113" s="32" t="s">
        <v>75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9"/>
      <c r="O113" s="32"/>
    </row>
    <row r="114" spans="1:15" ht="14.25">
      <c r="A114" s="48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9"/>
      <c r="O114" s="32"/>
    </row>
    <row r="115" spans="1:15" ht="14.25">
      <c r="A115" s="48"/>
      <c r="B115" s="351" t="s">
        <v>111</v>
      </c>
      <c r="C115" s="351"/>
      <c r="D115" s="351"/>
      <c r="E115" s="75">
        <f>+F109/F110</f>
        <v>0.27539503386004516</v>
      </c>
      <c r="F115" s="2"/>
      <c r="G115" s="2"/>
      <c r="H115" s="2"/>
      <c r="I115" s="2"/>
      <c r="J115" s="2"/>
      <c r="K115" s="2"/>
      <c r="L115" s="2"/>
      <c r="M115" s="2"/>
      <c r="N115" s="40"/>
      <c r="O115" s="2"/>
    </row>
    <row r="116" spans="1:15" ht="14.25">
      <c r="A116" s="4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40"/>
      <c r="O116" s="2"/>
    </row>
    <row r="117" spans="1:15" ht="14.25">
      <c r="A117" s="48"/>
      <c r="B117" s="32" t="s">
        <v>112</v>
      </c>
      <c r="C117" s="32"/>
      <c r="D117" s="90"/>
      <c r="E117" s="2"/>
      <c r="F117" s="2"/>
      <c r="G117" s="2"/>
      <c r="H117" s="2"/>
      <c r="I117" s="2"/>
      <c r="J117" s="2"/>
      <c r="K117" s="2"/>
      <c r="L117" s="2"/>
      <c r="M117" s="2"/>
      <c r="N117" s="40"/>
      <c r="O117" s="2"/>
    </row>
    <row r="118" spans="1:15" ht="14.25">
      <c r="A118" s="4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40"/>
      <c r="O118" s="2"/>
    </row>
    <row r="119" spans="1:15" ht="14.25" thickBot="1">
      <c r="A119" s="48"/>
      <c r="B119" s="2"/>
      <c r="C119" s="74" t="s">
        <v>102</v>
      </c>
      <c r="D119" s="1">
        <v>0.01</v>
      </c>
      <c r="E119" s="2"/>
      <c r="F119" s="2"/>
      <c r="G119" s="2"/>
      <c r="H119" s="2"/>
      <c r="I119" s="2"/>
      <c r="J119" s="2"/>
      <c r="K119" s="2"/>
      <c r="L119" s="2"/>
      <c r="M119" s="2"/>
      <c r="N119" s="40"/>
      <c r="O119" s="2"/>
    </row>
    <row r="120" spans="1:14" ht="14.25">
      <c r="A120" s="48"/>
      <c r="C120" s="7" t="s">
        <v>40</v>
      </c>
      <c r="D120" s="1">
        <f>+F110</f>
        <v>1329</v>
      </c>
      <c r="F120" s="80" t="s">
        <v>114</v>
      </c>
      <c r="G120" s="91">
        <f>+E115-D121*SQRT(E115*(1-E115)/D120)</f>
        <v>0.2438316690870598</v>
      </c>
      <c r="N120" s="27"/>
    </row>
    <row r="121" spans="1:14" ht="16.5" thickBot="1">
      <c r="A121" s="48"/>
      <c r="C121" s="7" t="s">
        <v>113</v>
      </c>
      <c r="D121" s="75">
        <f>-NORMSINV(0.005)</f>
        <v>2.5758293035489155</v>
      </c>
      <c r="F121" s="82" t="s">
        <v>115</v>
      </c>
      <c r="G121" s="92">
        <f>+E115+D121*SQRT(E115*(1-E115)/D120)</f>
        <v>0.30695839863303054</v>
      </c>
      <c r="N121" s="27"/>
    </row>
    <row r="122" spans="1:14" ht="18" customHeight="1">
      <c r="A122" s="48"/>
      <c r="N122" s="27"/>
    </row>
    <row r="123" spans="1:15" ht="13.5">
      <c r="A123" s="50" t="s">
        <v>27</v>
      </c>
      <c r="B123" s="32" t="s">
        <v>37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9"/>
      <c r="O123" s="32"/>
    </row>
    <row r="124" spans="1:15" ht="13.5">
      <c r="A124" s="48"/>
      <c r="B124" s="32" t="s">
        <v>38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9"/>
      <c r="O124" s="32"/>
    </row>
    <row r="125" spans="1:14" ht="13.5">
      <c r="A125" s="48"/>
      <c r="B125" s="32" t="s">
        <v>76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9"/>
    </row>
    <row r="126" spans="1:14" ht="13.5">
      <c r="A126" s="48"/>
      <c r="N126" s="27"/>
    </row>
    <row r="127" spans="1:14" ht="15">
      <c r="A127" s="48"/>
      <c r="B127" s="8"/>
      <c r="C127" s="7" t="s">
        <v>116</v>
      </c>
      <c r="D127" s="74" t="s">
        <v>118</v>
      </c>
      <c r="E127" s="1">
        <v>165</v>
      </c>
      <c r="F127" s="74" t="s">
        <v>119</v>
      </c>
      <c r="G127" s="1">
        <v>0.05</v>
      </c>
      <c r="H127" s="7" t="s">
        <v>95</v>
      </c>
      <c r="I127" s="1">
        <v>181</v>
      </c>
      <c r="J127" s="7" t="s">
        <v>49</v>
      </c>
      <c r="K127" s="1">
        <v>15.4</v>
      </c>
      <c r="N127" s="27"/>
    </row>
    <row r="128" spans="1:14" ht="15">
      <c r="A128" s="48"/>
      <c r="B128" s="6"/>
      <c r="C128" s="7" t="s">
        <v>117</v>
      </c>
      <c r="D128" s="7" t="s">
        <v>40</v>
      </c>
      <c r="E128" s="1">
        <v>92</v>
      </c>
      <c r="N128" s="27"/>
    </row>
    <row r="129" spans="1:14" ht="14.25">
      <c r="A129" s="48"/>
      <c r="N129" s="27"/>
    </row>
    <row r="130" spans="1:14" ht="16.5" customHeight="1">
      <c r="A130" s="48"/>
      <c r="B130" s="32" t="s">
        <v>97</v>
      </c>
      <c r="C130" s="32"/>
      <c r="D130" s="32"/>
      <c r="E130" s="72" t="s">
        <v>33</v>
      </c>
      <c r="F130" s="75">
        <f>+(I127-E127)/(K127/SQRT(E128))</f>
        <v>9.96536420428617</v>
      </c>
      <c r="G130" s="32"/>
      <c r="H130" s="7" t="s">
        <v>222</v>
      </c>
      <c r="I130" s="12">
        <f>-NORMSINV(G127/2)</f>
        <v>1.9599639845400545</v>
      </c>
      <c r="N130" s="27"/>
    </row>
    <row r="131" spans="1:14" ht="14.25">
      <c r="A131" s="48"/>
      <c r="B131" s="2"/>
      <c r="C131" s="2"/>
      <c r="D131" s="2"/>
      <c r="E131" s="2"/>
      <c r="F131" s="2"/>
      <c r="G131" s="2"/>
      <c r="N131" s="27"/>
    </row>
    <row r="132" spans="1:14" ht="18" customHeight="1">
      <c r="A132" s="48"/>
      <c r="B132" s="10" t="s">
        <v>220</v>
      </c>
      <c r="C132" s="2"/>
      <c r="D132" s="2"/>
      <c r="E132" s="2"/>
      <c r="F132" s="2"/>
      <c r="G132" s="2"/>
      <c r="N132" s="27"/>
    </row>
    <row r="133" spans="1:14" ht="18" customHeight="1">
      <c r="A133" s="48"/>
      <c r="C133" s="2"/>
      <c r="D133" s="2"/>
      <c r="E133" s="2"/>
      <c r="F133" s="2"/>
      <c r="G133" s="2"/>
      <c r="N133" s="27"/>
    </row>
    <row r="134" spans="1:14" ht="8.25" customHeight="1">
      <c r="A134" s="48"/>
      <c r="C134" s="2"/>
      <c r="D134" s="2"/>
      <c r="E134" s="2"/>
      <c r="F134" s="2"/>
      <c r="G134" s="2"/>
      <c r="N134" s="27"/>
    </row>
    <row r="135" spans="1:14" ht="20.25" customHeight="1" thickBot="1">
      <c r="A135" s="48"/>
      <c r="B135" s="10" t="s">
        <v>101</v>
      </c>
      <c r="C135" s="2"/>
      <c r="D135" s="2"/>
      <c r="E135" s="12"/>
      <c r="F135" s="2"/>
      <c r="G135" s="2"/>
      <c r="N135" s="27"/>
    </row>
    <row r="136" spans="1:14" ht="20.25" customHeight="1" thickBot="1">
      <c r="A136" s="48"/>
      <c r="B136" s="2" t="s">
        <v>221</v>
      </c>
      <c r="C136" s="2"/>
      <c r="D136" s="2"/>
      <c r="E136" s="2"/>
      <c r="F136" s="2"/>
      <c r="G136" s="348" t="s">
        <v>121</v>
      </c>
      <c r="H136" s="349"/>
      <c r="I136" s="349"/>
      <c r="J136" s="350"/>
      <c r="K136" s="93"/>
      <c r="N136" s="27"/>
    </row>
    <row r="137" spans="1:14" ht="18.75" customHeight="1">
      <c r="A137" s="48"/>
      <c r="B137" s="2"/>
      <c r="C137" s="2"/>
      <c r="D137" s="2"/>
      <c r="E137" s="2"/>
      <c r="F137" s="2"/>
      <c r="G137" s="2"/>
      <c r="K137" s="94"/>
      <c r="N137" s="27"/>
    </row>
    <row r="138" spans="1:15" ht="13.5">
      <c r="A138" s="50" t="s">
        <v>31</v>
      </c>
      <c r="B138" s="32" t="s">
        <v>77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9"/>
      <c r="O138" s="32"/>
    </row>
    <row r="139" spans="1:15" ht="13.5">
      <c r="A139" s="5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40"/>
      <c r="O139" s="2"/>
    </row>
    <row r="140" spans="1:15" ht="14.25">
      <c r="A140" s="50"/>
      <c r="B140" s="2" t="s">
        <v>123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40"/>
      <c r="O140" s="2"/>
    </row>
    <row r="141" spans="1:15" ht="14.25">
      <c r="A141" s="5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40"/>
      <c r="O141" s="2"/>
    </row>
    <row r="142" spans="1:15" ht="14.25">
      <c r="A142" s="5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40"/>
      <c r="O142" s="2"/>
    </row>
    <row r="143" spans="1:15" ht="10.5" customHeight="1">
      <c r="A143" s="5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40"/>
      <c r="O143" s="2"/>
    </row>
    <row r="144" spans="1:15" ht="13.5">
      <c r="A144" s="5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40"/>
      <c r="O144" s="2"/>
    </row>
    <row r="145" spans="1:14" ht="15">
      <c r="A145" s="48"/>
      <c r="C145" s="32" t="s">
        <v>124</v>
      </c>
      <c r="D145" s="32"/>
      <c r="N145" s="27"/>
    </row>
    <row r="146" spans="1:14" ht="14.25" thickBot="1">
      <c r="A146" s="48"/>
      <c r="B146" s="2"/>
      <c r="C146" s="2"/>
      <c r="D146" s="2"/>
      <c r="N146" s="27"/>
    </row>
    <row r="147" spans="1:14" ht="15.75" customHeight="1">
      <c r="A147" s="48"/>
      <c r="C147" s="366" t="s">
        <v>16</v>
      </c>
      <c r="D147" s="364" t="s">
        <v>17</v>
      </c>
      <c r="E147" s="365"/>
      <c r="F147" s="366" t="s">
        <v>78</v>
      </c>
      <c r="N147" s="27"/>
    </row>
    <row r="148" spans="1:14" ht="20.25" customHeight="1" thickBot="1">
      <c r="A148" s="48"/>
      <c r="C148" s="367"/>
      <c r="D148" s="103" t="s">
        <v>18</v>
      </c>
      <c r="E148" s="95" t="s">
        <v>19</v>
      </c>
      <c r="F148" s="367"/>
      <c r="N148" s="27"/>
    </row>
    <row r="149" spans="1:14" ht="13.5">
      <c r="A149" s="48"/>
      <c r="C149" s="108" t="s">
        <v>21</v>
      </c>
      <c r="D149" s="104">
        <f>+F149*D$152/$F$152</f>
        <v>28.243792325056432</v>
      </c>
      <c r="E149" s="96">
        <f>+F149*E$152/$F$152</f>
        <v>379.75620767494354</v>
      </c>
      <c r="F149" s="100">
        <v>408</v>
      </c>
      <c r="N149" s="27"/>
    </row>
    <row r="150" spans="1:14" ht="13.5">
      <c r="A150" s="48"/>
      <c r="C150" s="109" t="s">
        <v>20</v>
      </c>
      <c r="D150" s="105">
        <f>+F150*D$152/$F$152</f>
        <v>38.419864559819416</v>
      </c>
      <c r="E150" s="97">
        <f>+F150*E$152/$F$152</f>
        <v>516.5801354401806</v>
      </c>
      <c r="F150" s="101">
        <v>555</v>
      </c>
      <c r="N150" s="27"/>
    </row>
    <row r="151" spans="1:14" ht="14.25" thickBot="1">
      <c r="A151" s="48"/>
      <c r="C151" s="110" t="s">
        <v>35</v>
      </c>
      <c r="D151" s="106">
        <f>+F151*D$152/$F$152</f>
        <v>25.336343115124155</v>
      </c>
      <c r="E151" s="98">
        <f>+F151*E$152/$F$152</f>
        <v>340.6636568848758</v>
      </c>
      <c r="F151" s="102">
        <v>366</v>
      </c>
      <c r="N151" s="27"/>
    </row>
    <row r="152" spans="1:14" ht="15" thickBot="1">
      <c r="A152" s="48"/>
      <c r="C152" s="14" t="s">
        <v>79</v>
      </c>
      <c r="D152" s="107">
        <v>92</v>
      </c>
      <c r="E152" s="99">
        <v>1237</v>
      </c>
      <c r="F152" s="29">
        <v>1329</v>
      </c>
      <c r="N152" s="27"/>
    </row>
    <row r="153" spans="1:14" ht="13.5">
      <c r="A153" s="48"/>
      <c r="N153" s="27"/>
    </row>
    <row r="154" spans="1:14" ht="15.75">
      <c r="A154" s="48"/>
      <c r="C154" s="10" t="s">
        <v>129</v>
      </c>
      <c r="N154" s="27"/>
    </row>
    <row r="155" spans="1:14" ht="14.25" thickBot="1">
      <c r="A155" s="48"/>
      <c r="N155" s="27"/>
    </row>
    <row r="156" spans="1:14" ht="13.5">
      <c r="A156" s="48"/>
      <c r="C156" s="366" t="s">
        <v>16</v>
      </c>
      <c r="D156" s="364" t="s">
        <v>17</v>
      </c>
      <c r="E156" s="365"/>
      <c r="F156" s="366" t="s">
        <v>122</v>
      </c>
      <c r="N156" s="27"/>
    </row>
    <row r="157" spans="1:14" ht="14.25" thickBot="1">
      <c r="A157" s="48"/>
      <c r="C157" s="367"/>
      <c r="D157" s="103" t="s">
        <v>18</v>
      </c>
      <c r="E157" s="95" t="s">
        <v>19</v>
      </c>
      <c r="F157" s="367"/>
      <c r="N157" s="27"/>
    </row>
    <row r="158" spans="1:14" ht="13.5">
      <c r="A158" s="48"/>
      <c r="C158" s="108" t="s">
        <v>21</v>
      </c>
      <c r="D158" s="104">
        <f aca="true" t="shared" si="1" ref="D158:E160">+(D107-D149)^2/D149</f>
        <v>2.406196417128044</v>
      </c>
      <c r="E158" s="104">
        <f t="shared" si="1"/>
        <v>0.17895721129812578</v>
      </c>
      <c r="F158" s="112">
        <f>+SUM(D158:E158)</f>
        <v>2.58515362842617</v>
      </c>
      <c r="N158" s="27"/>
    </row>
    <row r="159" spans="1:14" ht="13.5">
      <c r="A159" s="48"/>
      <c r="C159" s="109" t="s">
        <v>20</v>
      </c>
      <c r="D159" s="104">
        <f t="shared" si="1"/>
        <v>2.8259750181037857</v>
      </c>
      <c r="E159" s="104">
        <f t="shared" si="1"/>
        <v>0.2101776084604271</v>
      </c>
      <c r="F159" s="112">
        <f>+SUM(D159:E159)</f>
        <v>3.036152626564213</v>
      </c>
      <c r="N159" s="27"/>
    </row>
    <row r="160" spans="1:14" ht="14.25" thickBot="1">
      <c r="A160" s="48"/>
      <c r="C160" s="110" t="s">
        <v>35</v>
      </c>
      <c r="D160" s="104">
        <f t="shared" si="1"/>
        <v>13.748317455822654</v>
      </c>
      <c r="E160" s="104">
        <f t="shared" si="1"/>
        <v>1.022510271572903</v>
      </c>
      <c r="F160" s="112">
        <f>+SUM(D160:E160)</f>
        <v>14.770827727395558</v>
      </c>
      <c r="N160" s="27"/>
    </row>
    <row r="161" spans="1:14" ht="14.25" thickBot="1">
      <c r="A161" s="48"/>
      <c r="C161" s="14" t="s">
        <v>22</v>
      </c>
      <c r="D161" s="111">
        <f>+SUM(D158:D160)</f>
        <v>18.980488891054485</v>
      </c>
      <c r="E161" s="111">
        <f>+SUM(E158:E160)</f>
        <v>1.411645091331456</v>
      </c>
      <c r="F161" s="113">
        <f>+SUM(F158:F160)</f>
        <v>20.392133982385943</v>
      </c>
      <c r="N161" s="27"/>
    </row>
    <row r="162" spans="1:14" ht="13.5">
      <c r="A162" s="48"/>
      <c r="N162" s="27"/>
    </row>
    <row r="163" spans="1:14" ht="14.25">
      <c r="A163" s="48"/>
      <c r="B163" s="32" t="s">
        <v>125</v>
      </c>
      <c r="C163" s="32"/>
      <c r="D163" s="32"/>
      <c r="N163" s="27"/>
    </row>
    <row r="164" spans="1:14" ht="14.25">
      <c r="A164" s="48"/>
      <c r="N164" s="27"/>
    </row>
    <row r="165" spans="1:14" ht="14.25">
      <c r="A165" s="48"/>
      <c r="B165" s="10" t="s">
        <v>126</v>
      </c>
      <c r="N165" s="27"/>
    </row>
    <row r="166" spans="1:14" ht="24" customHeight="1">
      <c r="A166" s="48"/>
      <c r="B166" s="10" t="s">
        <v>101</v>
      </c>
      <c r="N166" s="27"/>
    </row>
    <row r="167" spans="1:14" ht="15" thickBot="1">
      <c r="A167" s="48"/>
      <c r="N167" s="27"/>
    </row>
    <row r="168" spans="1:14" ht="21" customHeight="1" thickBot="1">
      <c r="A168" s="48"/>
      <c r="B168" s="10" t="s">
        <v>127</v>
      </c>
      <c r="F168" s="348" t="s">
        <v>128</v>
      </c>
      <c r="G168" s="349"/>
      <c r="H168" s="349"/>
      <c r="I168" s="349"/>
      <c r="J168" s="349"/>
      <c r="K168" s="350"/>
      <c r="N168" s="27"/>
    </row>
    <row r="169" spans="1:14" ht="14.25">
      <c r="A169" s="48"/>
      <c r="N169" s="27"/>
    </row>
    <row r="170" spans="1:14" ht="12" customHeight="1">
      <c r="A170" s="48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</sheetData>
  <sheetProtection/>
  <mergeCells count="29">
    <mergeCell ref="F168:K168"/>
    <mergeCell ref="C105:C106"/>
    <mergeCell ref="D105:E105"/>
    <mergeCell ref="F105:F106"/>
    <mergeCell ref="B115:D115"/>
    <mergeCell ref="C156:C157"/>
    <mergeCell ref="D156:E156"/>
    <mergeCell ref="F156:F157"/>
    <mergeCell ref="A37:N37"/>
    <mergeCell ref="B46:L46"/>
    <mergeCell ref="D147:E147"/>
    <mergeCell ref="F147:F148"/>
    <mergeCell ref="F76:J76"/>
    <mergeCell ref="G136:J136"/>
    <mergeCell ref="C147:C148"/>
    <mergeCell ref="B7:L7"/>
    <mergeCell ref="B4:L4"/>
    <mergeCell ref="B9:L9"/>
    <mergeCell ref="B10:L10"/>
    <mergeCell ref="B3:L3"/>
    <mergeCell ref="B41:L41"/>
    <mergeCell ref="B45:L45"/>
    <mergeCell ref="A1:N1"/>
    <mergeCell ref="C22:C23"/>
    <mergeCell ref="D22:E22"/>
    <mergeCell ref="F22:F23"/>
    <mergeCell ref="B11:L11"/>
    <mergeCell ref="B5:L5"/>
    <mergeCell ref="B6:L6"/>
  </mergeCells>
  <printOptions horizontalCentered="1"/>
  <pageMargins left="0.4330708661417323" right="0.4724409448818898" top="0.7480314960629921" bottom="0.6692913385826772" header="0.5118110236220472" footer="0.5118110236220472"/>
  <pageSetup fitToHeight="4" horizontalDpi="600" verticalDpi="600" orientation="portrait" paperSize="9" scale="65" r:id="rId22"/>
  <rowBreaks count="2" manualBreakCount="2">
    <brk id="36" max="13" man="1"/>
    <brk id="100" max="13" man="1"/>
  </rowBreaks>
  <ignoredErrors>
    <ignoredError sqref="F26 F109" formula="1"/>
  </ignoredErrors>
  <drawing r:id="rId21"/>
  <legacyDrawing r:id="rId20"/>
  <oleObjects>
    <oleObject progId="Equation.3" shapeId="34298" r:id="rId1"/>
    <oleObject progId="Equation.3" shapeId="116416" r:id="rId2"/>
    <oleObject progId="Equation.3" shapeId="298502" r:id="rId3"/>
    <oleObject progId="Equation.3" shapeId="57725" r:id="rId4"/>
    <oleObject progId="Equation.3" shapeId="129546" r:id="rId5"/>
    <oleObject progId="Equation.3" shapeId="442337" r:id="rId6"/>
    <oleObject progId="Equation.3" shapeId="453850" r:id="rId7"/>
    <oleObject progId="Equation.3" shapeId="460913" r:id="rId8"/>
    <oleObject progId="Equation.3" shapeId="521977" r:id="rId9"/>
    <oleObject progId="Equation.3" shapeId="532077" r:id="rId10"/>
    <oleObject progId="Equation.3" shapeId="645117" r:id="rId11"/>
    <oleObject progId="Equation.3" shapeId="841492" r:id="rId12"/>
    <oleObject progId="Equation.3" shapeId="115324" r:id="rId13"/>
    <oleObject progId="Equation.3" shapeId="125102" r:id="rId14"/>
    <oleObject progId="Equation.3" shapeId="295373" r:id="rId15"/>
    <oleObject progId="Equation.3" shapeId="828185" r:id="rId16"/>
    <oleObject progId="Equation.3" shapeId="833445" r:id="rId17"/>
    <oleObject progId="Equation.3" shapeId="848179" r:id="rId18"/>
    <oleObject progId="Equation.3" shapeId="854979" r:id="rId1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179"/>
  <sheetViews>
    <sheetView zoomScale="88" zoomScaleNormal="88" zoomScalePageLayoutView="0" workbookViewId="0" topLeftCell="A1">
      <selection activeCell="K151" sqref="K151"/>
    </sheetView>
  </sheetViews>
  <sheetFormatPr defaultColWidth="9.140625" defaultRowHeight="12.75"/>
  <cols>
    <col min="1" max="1" width="4.7109375" style="255" customWidth="1"/>
    <col min="2" max="2" width="9.140625" style="216" customWidth="1"/>
    <col min="3" max="3" width="16.421875" style="216" customWidth="1"/>
    <col min="4" max="6" width="13.421875" style="216" customWidth="1"/>
    <col min="7" max="7" width="12.57421875" style="216" customWidth="1"/>
    <col min="8" max="8" width="15.8515625" style="216" customWidth="1"/>
    <col min="9" max="13" width="9.140625" style="216" customWidth="1"/>
    <col min="14" max="14" width="4.7109375" style="216" customWidth="1"/>
    <col min="15" max="16384" width="9.140625" style="216" customWidth="1"/>
  </cols>
  <sheetData>
    <row r="1" spans="1:15" ht="20.25">
      <c r="A1" s="335" t="s">
        <v>333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215"/>
    </row>
    <row r="2" spans="1:14" ht="17.25">
      <c r="A2" s="217"/>
      <c r="B2" s="215"/>
      <c r="C2" s="215"/>
      <c r="D2" s="215"/>
      <c r="E2" s="215"/>
      <c r="F2" s="215"/>
      <c r="G2" s="215"/>
      <c r="H2" s="215"/>
      <c r="I2" s="215"/>
      <c r="J2" s="218"/>
      <c r="K2" s="218"/>
      <c r="L2" s="218"/>
      <c r="N2" s="219"/>
    </row>
    <row r="3" spans="1:14" ht="12.75">
      <c r="A3" s="217"/>
      <c r="N3" s="219"/>
    </row>
    <row r="4" spans="1:14" ht="13.5">
      <c r="A4" s="217"/>
      <c r="B4" s="34" t="s">
        <v>224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7"/>
    </row>
    <row r="5" spans="1:14" ht="13.5">
      <c r="A5" s="217"/>
      <c r="B5" s="32" t="s">
        <v>225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N5" s="219"/>
    </row>
    <row r="6" spans="1:14" ht="13.5">
      <c r="A6" s="217"/>
      <c r="B6" s="32" t="s">
        <v>226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N6" s="219"/>
    </row>
    <row r="7" spans="1:14" ht="12.75">
      <c r="A7" s="217"/>
      <c r="N7" s="219"/>
    </row>
    <row r="8" spans="1:14" ht="13.5">
      <c r="A8" s="217"/>
      <c r="B8" s="34" t="s">
        <v>227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N8" s="219"/>
    </row>
    <row r="9" spans="1:14" ht="13.5">
      <c r="A9" s="217"/>
      <c r="B9" s="32" t="s">
        <v>207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5"/>
    </row>
    <row r="10" spans="1:14" ht="13.5">
      <c r="A10" s="217"/>
      <c r="B10" s="32" t="s">
        <v>228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5"/>
    </row>
    <row r="11" spans="1:14" ht="13.5">
      <c r="A11" s="217"/>
      <c r="B11" s="32" t="s">
        <v>229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5"/>
    </row>
    <row r="12" spans="1:14" ht="13.5">
      <c r="A12" s="217"/>
      <c r="B12" s="32" t="s">
        <v>230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N12" s="219"/>
    </row>
    <row r="13" spans="1:14" ht="13.5">
      <c r="A13" s="217"/>
      <c r="B13" s="32" t="s">
        <v>231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5"/>
    </row>
    <row r="14" spans="1:14" ht="13.5">
      <c r="A14" s="217"/>
      <c r="B14" s="32" t="s">
        <v>206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5"/>
    </row>
    <row r="15" spans="1:14" ht="13.5">
      <c r="A15" s="217"/>
      <c r="B15" s="32" t="s">
        <v>232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5"/>
    </row>
    <row r="16" spans="1:14" ht="13.5">
      <c r="A16" s="217"/>
      <c r="B16" s="32" t="s">
        <v>233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5"/>
    </row>
    <row r="17" spans="1:14" ht="12.75">
      <c r="A17" s="217"/>
      <c r="N17" s="219"/>
    </row>
    <row r="18" spans="1:14" ht="13.5">
      <c r="A18" s="217"/>
      <c r="B18" s="34" t="s">
        <v>234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N18" s="219"/>
    </row>
    <row r="19" spans="1:14" ht="13.5">
      <c r="A19" s="217"/>
      <c r="B19" s="32" t="s">
        <v>208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5"/>
    </row>
    <row r="20" spans="1:14" ht="13.5">
      <c r="A20" s="217"/>
      <c r="B20" s="32" t="s">
        <v>209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N20" s="219"/>
    </row>
    <row r="21" spans="1:14" ht="13.5" thickBot="1">
      <c r="A21" s="217"/>
      <c r="N21" s="219"/>
    </row>
    <row r="22" spans="1:14" ht="26.25" customHeight="1">
      <c r="A22" s="217"/>
      <c r="C22" s="337" t="s">
        <v>41</v>
      </c>
      <c r="D22" s="339" t="s">
        <v>42</v>
      </c>
      <c r="E22" s="340"/>
      <c r="F22" s="333"/>
      <c r="N22" s="219"/>
    </row>
    <row r="23" spans="1:14" ht="15" customHeight="1" thickBot="1">
      <c r="A23" s="217"/>
      <c r="C23" s="338"/>
      <c r="D23" s="222" t="s">
        <v>43</v>
      </c>
      <c r="E23" s="223" t="s">
        <v>44</v>
      </c>
      <c r="F23" s="224" t="s">
        <v>45</v>
      </c>
      <c r="N23" s="219"/>
    </row>
    <row r="24" spans="1:14" ht="15" customHeight="1">
      <c r="A24" s="217"/>
      <c r="C24" s="225" t="s">
        <v>46</v>
      </c>
      <c r="D24" s="226">
        <v>31</v>
      </c>
      <c r="E24" s="227">
        <v>16</v>
      </c>
      <c r="F24" s="228">
        <v>9</v>
      </c>
      <c r="N24" s="219"/>
    </row>
    <row r="25" spans="1:14" ht="15" customHeight="1" thickBot="1">
      <c r="A25" s="217"/>
      <c r="C25" s="229" t="s">
        <v>47</v>
      </c>
      <c r="D25" s="230">
        <v>24</v>
      </c>
      <c r="E25" s="231">
        <v>11</v>
      </c>
      <c r="F25" s="232">
        <v>12</v>
      </c>
      <c r="N25" s="219"/>
    </row>
    <row r="26" spans="1:14" ht="12.75">
      <c r="A26" s="217"/>
      <c r="N26" s="219"/>
    </row>
    <row r="27" spans="1:14" ht="13.5">
      <c r="A27" s="217"/>
      <c r="B27" s="32" t="s">
        <v>235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N27" s="219"/>
    </row>
    <row r="28" spans="1:14" ht="13.5">
      <c r="A28" s="217"/>
      <c r="B28" s="32" t="s">
        <v>236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5"/>
    </row>
    <row r="29" spans="1:14" ht="13.5">
      <c r="A29" s="217"/>
      <c r="B29" s="32" t="s">
        <v>210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N29" s="219"/>
    </row>
    <row r="30" spans="1:14" ht="13.5">
      <c r="A30" s="217"/>
      <c r="B30" s="32" t="s">
        <v>237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5"/>
    </row>
    <row r="31" spans="1:14" ht="13.5">
      <c r="A31" s="217"/>
      <c r="B31" s="32" t="s">
        <v>211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N31" s="219"/>
    </row>
    <row r="32" spans="1:15" ht="12.75">
      <c r="A32" s="217"/>
      <c r="N32" s="219"/>
      <c r="O32" s="233"/>
    </row>
    <row r="33" spans="1:15" ht="18" customHeight="1">
      <c r="A33" s="217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33"/>
    </row>
    <row r="34" spans="1:15" ht="17.25">
      <c r="A34" s="347" t="s">
        <v>212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215"/>
    </row>
    <row r="35" spans="1:15" ht="12.75">
      <c r="A35" s="234"/>
      <c r="B35" s="235"/>
      <c r="N35" s="236"/>
      <c r="O35" s="233"/>
    </row>
    <row r="36" spans="1:15" ht="15">
      <c r="A36" s="49" t="s">
        <v>81</v>
      </c>
      <c r="B36" s="3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1"/>
      <c r="O36" s="233"/>
    </row>
    <row r="37" spans="1:15" ht="15">
      <c r="A37" s="49"/>
      <c r="B37" s="32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41"/>
      <c r="O37" s="233"/>
    </row>
    <row r="38" spans="1:14" ht="13.5">
      <c r="A38" s="50" t="s">
        <v>26</v>
      </c>
      <c r="B38" s="32" t="s">
        <v>48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N38" s="236"/>
    </row>
    <row r="39" spans="1:14" ht="12.75">
      <c r="A39" s="234"/>
      <c r="N39" s="236"/>
    </row>
    <row r="40" spans="1:14" ht="14.25">
      <c r="A40" s="234"/>
      <c r="B40" s="216" t="s">
        <v>238</v>
      </c>
      <c r="C40" s="32"/>
      <c r="D40" s="32"/>
      <c r="E40" s="32"/>
      <c r="N40" s="236"/>
    </row>
    <row r="41" spans="1:14" ht="14.25" thickBot="1">
      <c r="A41" s="234"/>
      <c r="C41" s="72"/>
      <c r="D41" s="72"/>
      <c r="E41" s="72"/>
      <c r="I41" s="237"/>
      <c r="N41" s="236"/>
    </row>
    <row r="42" spans="1:14" ht="14.25" thickBot="1">
      <c r="A42" s="234"/>
      <c r="C42" s="370" t="s">
        <v>214</v>
      </c>
      <c r="D42" s="336"/>
      <c r="E42" s="336"/>
      <c r="F42" s="336"/>
      <c r="G42" s="336"/>
      <c r="H42" s="79">
        <f>1-NORMSDIST(0.4)</f>
        <v>0.3445782583896758</v>
      </c>
      <c r="N42" s="236"/>
    </row>
    <row r="43" spans="1:14" ht="13.5">
      <c r="A43" s="234"/>
      <c r="C43" s="72"/>
      <c r="D43" s="72"/>
      <c r="E43" s="72"/>
      <c r="N43" s="236"/>
    </row>
    <row r="44" spans="1:14" ht="13.5">
      <c r="A44" s="50" t="s">
        <v>27</v>
      </c>
      <c r="B44" s="32" t="s">
        <v>61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9"/>
    </row>
    <row r="45" spans="1:14" ht="13.5">
      <c r="A45" s="5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40"/>
    </row>
    <row r="46" spans="1:14" ht="13.5">
      <c r="A46" s="50"/>
      <c r="B46" s="10" t="s">
        <v>213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40"/>
    </row>
    <row r="47" spans="1:14" ht="13.5">
      <c r="A47" s="50"/>
      <c r="B47" s="10" t="s">
        <v>215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40"/>
    </row>
    <row r="48" spans="1:14" ht="14.25">
      <c r="A48" s="5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40"/>
    </row>
    <row r="49" spans="1:14" ht="14.25">
      <c r="A49" s="234"/>
      <c r="F49" s="7" t="s">
        <v>156</v>
      </c>
      <c r="G49" s="1">
        <v>90</v>
      </c>
      <c r="H49" s="7" t="s">
        <v>190</v>
      </c>
      <c r="I49" s="75">
        <f>+H42</f>
        <v>0.3445782583896758</v>
      </c>
      <c r="N49" s="236"/>
    </row>
    <row r="50" spans="1:14" ht="12.75">
      <c r="A50" s="234"/>
      <c r="N50" s="236"/>
    </row>
    <row r="51" spans="1:14" ht="12.75">
      <c r="A51" s="234"/>
      <c r="B51" s="216" t="s">
        <v>216</v>
      </c>
      <c r="N51" s="236"/>
    </row>
    <row r="52" spans="1:14" ht="12.75">
      <c r="A52" s="234"/>
      <c r="B52" s="216" t="s">
        <v>217</v>
      </c>
      <c r="N52" s="236"/>
    </row>
    <row r="53" spans="1:14" ht="15">
      <c r="A53" s="234"/>
      <c r="F53" s="7" t="s">
        <v>239</v>
      </c>
      <c r="G53" s="75">
        <f>+G49*I49</f>
        <v>31.012043255070825</v>
      </c>
      <c r="H53" s="10"/>
      <c r="I53" s="7" t="s">
        <v>218</v>
      </c>
      <c r="J53" s="1">
        <f>+G49*I49*(1-I49)</f>
        <v>20.325967401133227</v>
      </c>
      <c r="N53" s="236"/>
    </row>
    <row r="54" spans="1:14" ht="15" thickBot="1">
      <c r="A54" s="234"/>
      <c r="D54" s="238"/>
      <c r="F54" s="10"/>
      <c r="G54" s="10"/>
      <c r="H54" s="10"/>
      <c r="I54" s="10"/>
      <c r="J54" s="10"/>
      <c r="N54" s="236"/>
    </row>
    <row r="55" spans="1:14" ht="16.5" customHeight="1" thickBot="1">
      <c r="A55" s="234"/>
      <c r="F55" s="78" t="s">
        <v>219</v>
      </c>
      <c r="G55" s="239">
        <f>+NORMDIST(25,G53,SQRT(J53),TRUE)</f>
        <v>0.09118214361122057</v>
      </c>
      <c r="H55" s="10"/>
      <c r="I55" s="10"/>
      <c r="J55" s="10"/>
      <c r="N55" s="236"/>
    </row>
    <row r="56" spans="1:14" ht="16.5" customHeight="1">
      <c r="A56" s="234"/>
      <c r="N56" s="236"/>
    </row>
    <row r="57" spans="1:14" ht="15">
      <c r="A57" s="49" t="s">
        <v>82</v>
      </c>
      <c r="N57" s="236"/>
    </row>
    <row r="58" spans="1:14" ht="15">
      <c r="A58" s="49"/>
      <c r="N58" s="236"/>
    </row>
    <row r="59" spans="1:14" ht="15">
      <c r="A59" s="49"/>
      <c r="C59" s="7" t="s">
        <v>156</v>
      </c>
      <c r="D59" s="1">
        <v>320</v>
      </c>
      <c r="E59" s="10"/>
      <c r="F59" s="7" t="s">
        <v>157</v>
      </c>
      <c r="G59" s="1">
        <v>16.3</v>
      </c>
      <c r="H59" s="10"/>
      <c r="I59" s="7" t="s">
        <v>49</v>
      </c>
      <c r="J59" s="1">
        <v>8.5</v>
      </c>
      <c r="N59" s="236"/>
    </row>
    <row r="60" spans="1:14" ht="15">
      <c r="A60" s="49"/>
      <c r="N60" s="236"/>
    </row>
    <row r="61" spans="1:14" ht="15" customHeight="1">
      <c r="A61" s="50" t="s">
        <v>26</v>
      </c>
      <c r="B61" s="32" t="s">
        <v>254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9"/>
    </row>
    <row r="62" spans="1:14" ht="15" customHeight="1">
      <c r="A62" s="234"/>
      <c r="N62" s="236"/>
    </row>
    <row r="63" spans="1:14" ht="15" customHeight="1">
      <c r="A63" s="234"/>
      <c r="C63" s="7" t="s">
        <v>240</v>
      </c>
      <c r="E63" s="73" t="s">
        <v>241</v>
      </c>
      <c r="F63" s="1">
        <v>15</v>
      </c>
      <c r="H63" s="7" t="s">
        <v>102</v>
      </c>
      <c r="I63" s="1">
        <v>0.05</v>
      </c>
      <c r="N63" s="236"/>
    </row>
    <row r="64" spans="1:14" ht="15" customHeight="1">
      <c r="A64" s="234"/>
      <c r="C64" s="7" t="s">
        <v>249</v>
      </c>
      <c r="E64" s="2"/>
      <c r="F64" s="2"/>
      <c r="G64" s="2"/>
      <c r="H64" s="2"/>
      <c r="I64" s="2"/>
      <c r="J64" s="2"/>
      <c r="N64" s="236"/>
    </row>
    <row r="65" spans="1:14" ht="15" customHeight="1">
      <c r="A65" s="234"/>
      <c r="N65" s="236"/>
    </row>
    <row r="66" spans="1:14" ht="15" customHeight="1">
      <c r="A66" s="234"/>
      <c r="B66" s="32" t="s">
        <v>97</v>
      </c>
      <c r="E66" s="240" t="s">
        <v>33</v>
      </c>
      <c r="F66" s="75">
        <f>+(G59-F63)/(J59/SQRT(D59))</f>
        <v>2.735894937176215</v>
      </c>
      <c r="H66" s="10" t="s">
        <v>220</v>
      </c>
      <c r="N66" s="236"/>
    </row>
    <row r="67" spans="1:14" ht="23.25" customHeight="1">
      <c r="A67" s="234"/>
      <c r="N67" s="236"/>
    </row>
    <row r="68" spans="1:14" ht="15" customHeight="1">
      <c r="A68" s="234"/>
      <c r="B68" s="10" t="s">
        <v>101</v>
      </c>
      <c r="H68" s="7" t="s">
        <v>242</v>
      </c>
      <c r="I68" s="12">
        <f>-NORMSINV(I63)</f>
        <v>1.6448536269514742</v>
      </c>
      <c r="N68" s="236"/>
    </row>
    <row r="69" spans="1:14" ht="15" customHeight="1" thickBot="1">
      <c r="A69" s="234"/>
      <c r="N69" s="236"/>
    </row>
    <row r="70" spans="1:14" ht="18.75" customHeight="1" thickBot="1">
      <c r="A70" s="234"/>
      <c r="B70" s="2" t="s">
        <v>223</v>
      </c>
      <c r="G70" s="348" t="s">
        <v>121</v>
      </c>
      <c r="H70" s="349"/>
      <c r="I70" s="349"/>
      <c r="J70" s="350"/>
      <c r="N70" s="236"/>
    </row>
    <row r="71" spans="1:14" ht="15" customHeight="1">
      <c r="A71" s="234"/>
      <c r="N71" s="236"/>
    </row>
    <row r="72" spans="1:14" ht="13.5">
      <c r="A72" s="50" t="s">
        <v>27</v>
      </c>
      <c r="B72" s="32" t="s">
        <v>62</v>
      </c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N72" s="236"/>
    </row>
    <row r="73" spans="1:14" ht="12.75">
      <c r="A73" s="234"/>
      <c r="N73" s="236"/>
    </row>
    <row r="74" spans="1:14" ht="13.5" thickBot="1">
      <c r="A74" s="234"/>
      <c r="N74" s="236"/>
    </row>
    <row r="75" spans="1:14" ht="14.25" thickBot="1">
      <c r="A75" s="234"/>
      <c r="H75" s="190">
        <f>1-NORMSDIST(F66)</f>
        <v>0.0031105442411797357</v>
      </c>
      <c r="N75" s="236"/>
    </row>
    <row r="76" spans="1:14" ht="12.75">
      <c r="A76" s="234"/>
      <c r="N76" s="236"/>
    </row>
    <row r="77" spans="1:14" ht="24" customHeight="1">
      <c r="A77" s="234"/>
      <c r="N77" s="236"/>
    </row>
    <row r="78" spans="1:14" ht="13.5">
      <c r="A78" s="50" t="s">
        <v>31</v>
      </c>
      <c r="B78" s="32" t="s">
        <v>255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9"/>
    </row>
    <row r="79" spans="1:14" ht="22.5" customHeight="1" thickBot="1">
      <c r="A79" s="23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0"/>
    </row>
    <row r="80" spans="1:14" ht="15" thickBot="1">
      <c r="A80" s="234"/>
      <c r="B80" s="2"/>
      <c r="C80" s="2"/>
      <c r="D80" s="190">
        <f>59/320</f>
        <v>0.184375</v>
      </c>
      <c r="F80" s="2"/>
      <c r="G80" s="2"/>
      <c r="H80" s="2"/>
      <c r="I80" s="2"/>
      <c r="J80" s="2"/>
      <c r="K80" s="2"/>
      <c r="L80" s="2"/>
      <c r="M80" s="2"/>
      <c r="N80" s="40"/>
    </row>
    <row r="81" spans="1:14" ht="18.75" customHeight="1">
      <c r="A81" s="23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0"/>
    </row>
    <row r="82" spans="1:14" ht="14.25">
      <c r="A82" s="23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0"/>
    </row>
    <row r="83" spans="1:14" ht="14.25">
      <c r="A83" s="234"/>
      <c r="B83" s="32" t="s">
        <v>103</v>
      </c>
      <c r="C83" s="32"/>
      <c r="D83" s="32"/>
      <c r="E83" s="2"/>
      <c r="F83" s="2"/>
      <c r="G83" s="2"/>
      <c r="H83" s="2"/>
      <c r="I83" s="2"/>
      <c r="J83" s="2"/>
      <c r="L83" s="2"/>
      <c r="M83" s="2"/>
      <c r="N83" s="40"/>
    </row>
    <row r="84" spans="1:14" ht="14.25">
      <c r="A84" s="23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40"/>
    </row>
    <row r="85" spans="1:14" ht="20.25" customHeight="1" thickBot="1">
      <c r="A85" s="23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0"/>
    </row>
    <row r="86" spans="1:14" ht="15">
      <c r="A86" s="234"/>
      <c r="B86" s="2"/>
      <c r="C86" s="7" t="s">
        <v>243</v>
      </c>
      <c r="D86" s="75">
        <f>-NORMSINV(0.005)</f>
        <v>2.5758293035489155</v>
      </c>
      <c r="E86" s="2"/>
      <c r="F86" s="2"/>
      <c r="G86" s="80" t="s">
        <v>114</v>
      </c>
      <c r="H86" s="91">
        <f>+D80-D86*SQRT((D80*(1-D80))/320)</f>
        <v>0.12853590491628403</v>
      </c>
      <c r="I86" s="2"/>
      <c r="J86" s="2"/>
      <c r="K86" s="2"/>
      <c r="L86" s="2"/>
      <c r="M86" s="2"/>
      <c r="N86" s="40"/>
    </row>
    <row r="87" spans="1:14" ht="15" thickBot="1">
      <c r="A87" s="234"/>
      <c r="B87" s="2"/>
      <c r="C87" s="2"/>
      <c r="D87" s="2"/>
      <c r="E87" s="2"/>
      <c r="F87" s="2"/>
      <c r="G87" s="82" t="s">
        <v>115</v>
      </c>
      <c r="H87" s="92">
        <f>+D80+D86*SQRT((D80*(1-D80))/320)</f>
        <v>0.240214095083716</v>
      </c>
      <c r="I87" s="2"/>
      <c r="J87" s="2"/>
      <c r="K87" s="2"/>
      <c r="L87" s="2"/>
      <c r="M87" s="2"/>
      <c r="N87" s="40"/>
    </row>
    <row r="88" spans="1:14" ht="20.25" customHeight="1">
      <c r="A88" s="23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40"/>
    </row>
    <row r="89" spans="1:14" ht="13.5">
      <c r="A89" s="50" t="s">
        <v>58</v>
      </c>
      <c r="B89" s="32" t="s">
        <v>244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9"/>
    </row>
    <row r="90" spans="1:14" ht="13.5">
      <c r="A90" s="234"/>
      <c r="B90" s="32" t="s">
        <v>245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9"/>
    </row>
    <row r="91" spans="1:14" ht="13.5">
      <c r="A91" s="23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40"/>
    </row>
    <row r="92" spans="1:14" ht="15">
      <c r="A92" s="234"/>
      <c r="B92" s="2"/>
      <c r="C92" s="7" t="s">
        <v>171</v>
      </c>
      <c r="D92" s="2"/>
      <c r="E92" s="73" t="s">
        <v>172</v>
      </c>
      <c r="F92" s="1">
        <v>0.2</v>
      </c>
      <c r="G92" s="10"/>
      <c r="H92" s="74" t="s">
        <v>102</v>
      </c>
      <c r="I92" s="1">
        <v>0.05</v>
      </c>
      <c r="J92" s="2"/>
      <c r="K92" s="2"/>
      <c r="L92" s="2"/>
      <c r="M92" s="2"/>
      <c r="N92" s="40"/>
    </row>
    <row r="93" spans="1:14" ht="15">
      <c r="A93" s="234"/>
      <c r="B93" s="2"/>
      <c r="C93" s="7" t="s">
        <v>251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40"/>
    </row>
    <row r="94" spans="1:14" ht="14.25">
      <c r="A94" s="234"/>
      <c r="B94" s="2"/>
      <c r="C94" s="7"/>
      <c r="D94" s="2"/>
      <c r="E94" s="2"/>
      <c r="F94" s="2"/>
      <c r="G94" s="2"/>
      <c r="H94" s="2"/>
      <c r="I94" s="2"/>
      <c r="J94" s="2"/>
      <c r="K94" s="2"/>
      <c r="L94" s="2"/>
      <c r="M94" s="2"/>
      <c r="N94" s="40"/>
    </row>
    <row r="95" spans="1:15" s="33" customFormat="1" ht="18.75" customHeight="1">
      <c r="A95" s="137"/>
      <c r="B95" s="33" t="s">
        <v>259</v>
      </c>
      <c r="C95" s="138"/>
      <c r="D95" s="138"/>
      <c r="E95" s="138"/>
      <c r="F95" s="256">
        <f>+(D80-F92)/SQRT((F92*(1-F92))/320)</f>
        <v>-0.6987712429686842</v>
      </c>
      <c r="G95" s="138"/>
      <c r="H95" s="138"/>
      <c r="I95" s="138"/>
      <c r="J95" s="138"/>
      <c r="K95" s="138"/>
      <c r="L95" s="138"/>
      <c r="M95" s="138"/>
      <c r="N95" s="139"/>
      <c r="O95" s="138"/>
    </row>
    <row r="96" spans="1:15" s="10" customFormat="1" ht="14.25">
      <c r="A96" s="11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40"/>
      <c r="O96" s="2"/>
    </row>
    <row r="97" spans="1:15" s="10" customFormat="1" ht="14.25">
      <c r="A97" s="119"/>
      <c r="B97" s="2"/>
      <c r="C97" s="2"/>
      <c r="D97" s="2"/>
      <c r="E97" s="75"/>
      <c r="F97" s="2"/>
      <c r="G97" s="2"/>
      <c r="H97" s="2"/>
      <c r="I97" s="2"/>
      <c r="J97" s="2"/>
      <c r="K97" s="2"/>
      <c r="L97" s="2"/>
      <c r="M97" s="2"/>
      <c r="N97" s="40"/>
      <c r="O97" s="2"/>
    </row>
    <row r="98" spans="1:15" s="10" customFormat="1" ht="17.25">
      <c r="A98" s="119"/>
      <c r="B98" s="32" t="s">
        <v>174</v>
      </c>
      <c r="C98" s="32"/>
      <c r="D98" s="32"/>
      <c r="E98" s="32"/>
      <c r="F98" s="32"/>
      <c r="G98" s="32"/>
      <c r="H98" s="72" t="s">
        <v>173</v>
      </c>
      <c r="I98" s="257" t="s">
        <v>252</v>
      </c>
      <c r="J98" s="136">
        <f>NORMSINV(I92)</f>
        <v>-1.6448536269514742</v>
      </c>
      <c r="K98" s="32"/>
      <c r="L98" s="32"/>
      <c r="M98" s="32"/>
      <c r="N98" s="39"/>
      <c r="O98" s="32"/>
    </row>
    <row r="99" spans="1:15" s="10" customFormat="1" ht="15" thickBot="1">
      <c r="A99" s="11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40"/>
      <c r="O99" s="2"/>
    </row>
    <row r="100" spans="1:15" s="10" customFormat="1" ht="16.5" thickBot="1">
      <c r="A100" s="119"/>
      <c r="B100" s="2" t="s">
        <v>253</v>
      </c>
      <c r="C100" s="2"/>
      <c r="D100" s="2"/>
      <c r="E100" s="2"/>
      <c r="F100" s="2"/>
      <c r="G100" s="370" t="s">
        <v>203</v>
      </c>
      <c r="H100" s="336"/>
      <c r="I100" s="336"/>
      <c r="J100" s="371"/>
      <c r="K100" s="2"/>
      <c r="L100" s="2"/>
      <c r="M100" s="2"/>
      <c r="N100" s="40"/>
      <c r="O100" s="2"/>
    </row>
    <row r="101" spans="1:14" ht="15.75" customHeight="1">
      <c r="A101" s="23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40"/>
    </row>
    <row r="102" spans="1:14" ht="15.75" customHeight="1">
      <c r="A102" s="23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40"/>
    </row>
    <row r="103" spans="1:14" ht="15.75" customHeight="1">
      <c r="A103" s="49" t="s">
        <v>83</v>
      </c>
      <c r="B103" s="32"/>
      <c r="C103" s="32"/>
      <c r="D103" s="32"/>
      <c r="E103" s="32"/>
      <c r="F103" s="32"/>
      <c r="G103" s="32"/>
      <c r="H103" s="32"/>
      <c r="I103" s="32"/>
      <c r="N103" s="236"/>
    </row>
    <row r="104" spans="1:14" ht="15.75" customHeight="1" thickBot="1">
      <c r="A104" s="49"/>
      <c r="B104" s="32"/>
      <c r="C104" s="32"/>
      <c r="D104" s="32"/>
      <c r="E104" s="32"/>
      <c r="F104" s="32"/>
      <c r="G104" s="32"/>
      <c r="H104" s="32"/>
      <c r="I104" s="32"/>
      <c r="N104" s="236"/>
    </row>
    <row r="105" spans="1:14" ht="15.75" customHeight="1" thickBot="1">
      <c r="A105" s="241"/>
      <c r="B105" s="2"/>
      <c r="C105" s="334" t="s">
        <v>41</v>
      </c>
      <c r="D105" s="334" t="s">
        <v>42</v>
      </c>
      <c r="E105" s="373"/>
      <c r="F105" s="374"/>
      <c r="G105" s="2"/>
      <c r="H105" s="2"/>
      <c r="I105" s="2"/>
      <c r="N105" s="236"/>
    </row>
    <row r="106" spans="1:14" ht="15.75" customHeight="1" thickBot="1">
      <c r="A106" s="241"/>
      <c r="B106" s="2"/>
      <c r="C106" s="372"/>
      <c r="D106" s="265" t="s">
        <v>43</v>
      </c>
      <c r="E106" s="266" t="s">
        <v>44</v>
      </c>
      <c r="F106" s="267" t="s">
        <v>45</v>
      </c>
      <c r="G106" s="116" t="s">
        <v>246</v>
      </c>
      <c r="H106" s="2"/>
      <c r="I106" s="2"/>
      <c r="N106" s="236"/>
    </row>
    <row r="107" spans="1:14" ht="15.75" customHeight="1">
      <c r="A107" s="241"/>
      <c r="B107" s="2"/>
      <c r="C107" s="262" t="s">
        <v>46</v>
      </c>
      <c r="D107" s="226">
        <v>31</v>
      </c>
      <c r="E107" s="227">
        <v>16</v>
      </c>
      <c r="F107" s="228">
        <v>9</v>
      </c>
      <c r="G107" s="263">
        <f>SUM(D107:F107)</f>
        <v>56</v>
      </c>
      <c r="H107" s="2"/>
      <c r="I107" s="2"/>
      <c r="N107" s="236"/>
    </row>
    <row r="108" spans="1:14" ht="15.75" customHeight="1" thickBot="1">
      <c r="A108" s="241"/>
      <c r="B108" s="2"/>
      <c r="C108" s="264" t="s">
        <v>47</v>
      </c>
      <c r="D108" s="230">
        <v>24</v>
      </c>
      <c r="E108" s="231">
        <v>11</v>
      </c>
      <c r="F108" s="232">
        <v>12</v>
      </c>
      <c r="G108" s="258">
        <f>SUM(D108:F108)</f>
        <v>47</v>
      </c>
      <c r="H108" s="2"/>
      <c r="I108" s="2"/>
      <c r="N108" s="236"/>
    </row>
    <row r="109" spans="1:14" ht="15.75" customHeight="1" thickBot="1">
      <c r="A109" s="241"/>
      <c r="B109" s="2"/>
      <c r="C109" s="53" t="s">
        <v>247</v>
      </c>
      <c r="D109" s="259">
        <f>SUM(D107:D108)</f>
        <v>55</v>
      </c>
      <c r="E109" s="260">
        <f>SUM(E107:E108)</f>
        <v>27</v>
      </c>
      <c r="F109" s="261">
        <f>SUM(F107:F108)</f>
        <v>21</v>
      </c>
      <c r="G109" s="242">
        <f>SUM(G107:G108)</f>
        <v>103</v>
      </c>
      <c r="H109" s="2"/>
      <c r="I109" s="2"/>
      <c r="N109" s="236"/>
    </row>
    <row r="110" spans="1:14" ht="15.75" customHeight="1">
      <c r="A110" s="241"/>
      <c r="B110" s="2"/>
      <c r="C110" s="2"/>
      <c r="D110" s="2"/>
      <c r="E110" s="2"/>
      <c r="F110" s="2"/>
      <c r="G110" s="2"/>
      <c r="H110" s="2"/>
      <c r="I110" s="2"/>
      <c r="N110" s="236"/>
    </row>
    <row r="111" spans="1:14" ht="15.75" customHeight="1">
      <c r="A111" s="50" t="s">
        <v>26</v>
      </c>
      <c r="B111" s="32" t="s">
        <v>248</v>
      </c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N111" s="236"/>
    </row>
    <row r="112" spans="1:14" ht="15.75" customHeight="1">
      <c r="A112" s="234"/>
      <c r="N112" s="236"/>
    </row>
    <row r="113" spans="1:14" s="10" customFormat="1" ht="14.25">
      <c r="A113" s="119"/>
      <c r="B113" s="2" t="s">
        <v>123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40"/>
    </row>
    <row r="114" spans="1:14" s="10" customFormat="1" ht="14.25">
      <c r="A114" s="11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40"/>
    </row>
    <row r="115" spans="1:14" s="10" customFormat="1" ht="14.25">
      <c r="A115" s="11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40"/>
    </row>
    <row r="116" spans="1:14" s="10" customFormat="1" ht="14.25">
      <c r="A116" s="11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40"/>
    </row>
    <row r="117" spans="1:14" s="10" customFormat="1" ht="15">
      <c r="A117" s="119"/>
      <c r="B117" s="2"/>
      <c r="C117" s="32" t="s">
        <v>124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40"/>
    </row>
    <row r="118" spans="1:14" s="10" customFormat="1" ht="14.25" thickBot="1">
      <c r="A118" s="11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40"/>
    </row>
    <row r="119" spans="1:14" s="10" customFormat="1" ht="15" customHeight="1" thickBot="1">
      <c r="A119" s="119"/>
      <c r="B119" s="2"/>
      <c r="C119" s="334" t="s">
        <v>41</v>
      </c>
      <c r="D119" s="334" t="s">
        <v>42</v>
      </c>
      <c r="E119" s="373"/>
      <c r="F119" s="374"/>
      <c r="G119" s="2"/>
      <c r="H119" s="2"/>
      <c r="N119" s="40"/>
    </row>
    <row r="120" spans="1:14" s="10" customFormat="1" ht="30.75" customHeight="1" thickBot="1">
      <c r="A120" s="119"/>
      <c r="B120" s="2"/>
      <c r="C120" s="372"/>
      <c r="D120" s="265" t="s">
        <v>43</v>
      </c>
      <c r="E120" s="266" t="s">
        <v>44</v>
      </c>
      <c r="F120" s="267" t="s">
        <v>45</v>
      </c>
      <c r="G120" s="116" t="s">
        <v>246</v>
      </c>
      <c r="H120" s="2"/>
      <c r="N120" s="40"/>
    </row>
    <row r="121" spans="1:14" s="10" customFormat="1" ht="17.25" customHeight="1">
      <c r="A121" s="119"/>
      <c r="B121" s="2"/>
      <c r="C121" s="262" t="s">
        <v>46</v>
      </c>
      <c r="D121" s="268">
        <v>29.902912621359224</v>
      </c>
      <c r="E121" s="269">
        <v>14.679611650485437</v>
      </c>
      <c r="F121" s="270">
        <v>11.41747572815534</v>
      </c>
      <c r="G121" s="277">
        <f>+SUM(D121:F121)</f>
        <v>56</v>
      </c>
      <c r="H121" s="2"/>
      <c r="N121" s="40"/>
    </row>
    <row r="122" spans="1:14" s="10" customFormat="1" ht="17.25" customHeight="1" thickBot="1">
      <c r="A122" s="119"/>
      <c r="B122" s="2"/>
      <c r="C122" s="264" t="s">
        <v>47</v>
      </c>
      <c r="D122" s="271">
        <v>25.097087378640776</v>
      </c>
      <c r="E122" s="272">
        <v>12.320388349514563</v>
      </c>
      <c r="F122" s="273">
        <v>9.58252427184466</v>
      </c>
      <c r="G122" s="278">
        <f>SUM(D122:F122)</f>
        <v>47</v>
      </c>
      <c r="H122" s="2"/>
      <c r="N122" s="40"/>
    </row>
    <row r="123" spans="1:14" s="10" customFormat="1" ht="17.25" customHeight="1" thickBot="1">
      <c r="A123" s="119"/>
      <c r="B123" s="2"/>
      <c r="C123" s="53" t="s">
        <v>247</v>
      </c>
      <c r="D123" s="274">
        <f>SUM(D121:D122)</f>
        <v>55</v>
      </c>
      <c r="E123" s="275">
        <f>SUM(E121:E122)</f>
        <v>27</v>
      </c>
      <c r="F123" s="276">
        <f>SUM(F121:F122)</f>
        <v>21</v>
      </c>
      <c r="G123" s="279">
        <f>SUM(D123:F123)</f>
        <v>103</v>
      </c>
      <c r="H123" s="2"/>
      <c r="N123" s="40"/>
    </row>
    <row r="124" spans="1:14" s="10" customFormat="1" ht="13.5">
      <c r="A124" s="27"/>
      <c r="G124" s="198"/>
      <c r="N124" s="27"/>
    </row>
    <row r="125" spans="1:14" s="10" customFormat="1" ht="15.75">
      <c r="A125" s="27"/>
      <c r="B125" s="32"/>
      <c r="C125" s="10" t="s">
        <v>129</v>
      </c>
      <c r="D125" s="32"/>
      <c r="E125" s="32"/>
      <c r="F125" s="32"/>
      <c r="G125" s="198"/>
      <c r="N125" s="27"/>
    </row>
    <row r="126" spans="1:14" s="10" customFormat="1" ht="14.25" thickBot="1">
      <c r="A126" s="27"/>
      <c r="G126" s="198"/>
      <c r="N126" s="27"/>
    </row>
    <row r="127" spans="1:14" s="10" customFormat="1" ht="14.25" thickBot="1">
      <c r="A127" s="27"/>
      <c r="C127" s="334" t="s">
        <v>41</v>
      </c>
      <c r="D127" s="334" t="s">
        <v>42</v>
      </c>
      <c r="E127" s="373"/>
      <c r="F127" s="374"/>
      <c r="G127" s="198"/>
      <c r="N127" s="27"/>
    </row>
    <row r="128" spans="1:14" s="10" customFormat="1" ht="15" thickBot="1">
      <c r="A128" s="27"/>
      <c r="C128" s="372"/>
      <c r="D128" s="265" t="s">
        <v>43</v>
      </c>
      <c r="E128" s="266" t="s">
        <v>44</v>
      </c>
      <c r="F128" s="267" t="s">
        <v>45</v>
      </c>
      <c r="G128" s="116" t="s">
        <v>246</v>
      </c>
      <c r="N128" s="27"/>
    </row>
    <row r="129" spans="1:14" s="10" customFormat="1" ht="18" customHeight="1">
      <c r="A129" s="27"/>
      <c r="C129" s="262" t="s">
        <v>46</v>
      </c>
      <c r="D129" s="268">
        <f aca="true" t="shared" si="0" ref="D129:F130">+(D107-D121)^2/D121</f>
        <v>0.04025028369688557</v>
      </c>
      <c r="E129" s="269">
        <f t="shared" si="0"/>
        <v>0.11876508963887593</v>
      </c>
      <c r="F129" s="270">
        <f t="shared" si="0"/>
        <v>0.5118634832573807</v>
      </c>
      <c r="G129" s="277">
        <f>+SUM(D129:F129)</f>
        <v>0.6708788565931423</v>
      </c>
      <c r="N129" s="27"/>
    </row>
    <row r="130" spans="1:14" s="10" customFormat="1" ht="18" customHeight="1" thickBot="1">
      <c r="A130" s="27"/>
      <c r="C130" s="264" t="s">
        <v>47</v>
      </c>
      <c r="D130" s="271">
        <f t="shared" si="0"/>
        <v>0.047957784830331744</v>
      </c>
      <c r="E130" s="272">
        <f t="shared" si="0"/>
        <v>0.14150734084632027</v>
      </c>
      <c r="F130" s="273">
        <f t="shared" si="0"/>
        <v>0.6098798949449643</v>
      </c>
      <c r="G130" s="278">
        <f>SUM(D130:F130)</f>
        <v>0.7993450206216164</v>
      </c>
      <c r="N130" s="27"/>
    </row>
    <row r="131" spans="1:14" s="10" customFormat="1" ht="18" customHeight="1" thickBot="1">
      <c r="A131" s="27"/>
      <c r="C131" s="53" t="s">
        <v>247</v>
      </c>
      <c r="D131" s="274">
        <f>SUM(D129:D130)</f>
        <v>0.08820806852721731</v>
      </c>
      <c r="E131" s="275">
        <f>SUM(E129:E130)</f>
        <v>0.2602724304851962</v>
      </c>
      <c r="F131" s="276">
        <f>SUM(F129:F130)</f>
        <v>1.121743378202345</v>
      </c>
      <c r="G131" s="280">
        <f>SUM(D131:F131)</f>
        <v>1.4702238772147584</v>
      </c>
      <c r="N131" s="27"/>
    </row>
    <row r="132" spans="1:14" s="10" customFormat="1" ht="18" customHeight="1">
      <c r="A132" s="27"/>
      <c r="N132" s="27"/>
    </row>
    <row r="133" spans="1:14" s="10" customFormat="1" ht="14.25">
      <c r="A133" s="27"/>
      <c r="B133" s="32" t="s">
        <v>125</v>
      </c>
      <c r="N133" s="27"/>
    </row>
    <row r="134" spans="1:14" s="10" customFormat="1" ht="12" customHeight="1">
      <c r="A134" s="27"/>
      <c r="B134" s="351"/>
      <c r="C134" s="351"/>
      <c r="N134" s="27"/>
    </row>
    <row r="135" spans="1:14" s="10" customFormat="1" ht="14.25">
      <c r="A135" s="27"/>
      <c r="B135" s="10" t="s">
        <v>126</v>
      </c>
      <c r="N135" s="27"/>
    </row>
    <row r="136" spans="1:14" s="10" customFormat="1" ht="11.25" customHeight="1">
      <c r="A136" s="27"/>
      <c r="N136" s="27"/>
    </row>
    <row r="137" spans="1:14" s="10" customFormat="1" ht="19.5" customHeight="1">
      <c r="A137" s="27"/>
      <c r="B137" s="10" t="s">
        <v>101</v>
      </c>
      <c r="N137" s="213"/>
    </row>
    <row r="138" spans="1:14" s="10" customFormat="1" ht="13.5" customHeight="1" thickBot="1">
      <c r="A138" s="27"/>
      <c r="N138" s="27"/>
    </row>
    <row r="139" spans="1:14" s="10" customFormat="1" ht="21" customHeight="1" thickBot="1">
      <c r="A139" s="27"/>
      <c r="B139" s="10" t="s">
        <v>127</v>
      </c>
      <c r="G139" s="348" t="s">
        <v>205</v>
      </c>
      <c r="H139" s="349"/>
      <c r="I139" s="349"/>
      <c r="J139" s="349"/>
      <c r="K139" s="349"/>
      <c r="L139" s="350"/>
      <c r="N139" s="27"/>
    </row>
    <row r="140" spans="1:14" ht="15.75" customHeight="1">
      <c r="A140" s="234"/>
      <c r="N140" s="236"/>
    </row>
    <row r="141" spans="1:14" ht="15.75" customHeight="1">
      <c r="A141" s="50" t="s">
        <v>27</v>
      </c>
      <c r="B141" s="32" t="s">
        <v>256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9"/>
    </row>
    <row r="142" spans="1:14" ht="15.75" customHeight="1">
      <c r="A142" s="234"/>
      <c r="B142" s="32" t="s">
        <v>257</v>
      </c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N142" s="236"/>
    </row>
    <row r="143" spans="1:14" ht="15.75" customHeight="1" thickBot="1">
      <c r="A143" s="234"/>
      <c r="B143" s="243"/>
      <c r="C143" s="244"/>
      <c r="D143" s="245"/>
      <c r="E143" s="245"/>
      <c r="N143" s="236"/>
    </row>
    <row r="144" spans="1:14" ht="19.5" customHeight="1" thickBot="1">
      <c r="A144" s="234"/>
      <c r="B144" s="246"/>
      <c r="C144" s="287" t="s">
        <v>258</v>
      </c>
      <c r="D144" s="168" t="s">
        <v>177</v>
      </c>
      <c r="E144" s="165" t="s">
        <v>178</v>
      </c>
      <c r="F144" s="176" t="s">
        <v>181</v>
      </c>
      <c r="G144" s="166" t="s">
        <v>179</v>
      </c>
      <c r="H144" s="167" t="s">
        <v>182</v>
      </c>
      <c r="J144" s="78" t="s">
        <v>180</v>
      </c>
      <c r="K144" s="79">
        <f>+F148/E148</f>
        <v>1.7446808510638299</v>
      </c>
      <c r="M144" s="1"/>
      <c r="N144" s="236"/>
    </row>
    <row r="145" spans="1:14" ht="15.75" customHeight="1">
      <c r="A145" s="234"/>
      <c r="B145" s="246"/>
      <c r="C145" s="288" t="s">
        <v>43</v>
      </c>
      <c r="D145" s="177">
        <v>0.5</v>
      </c>
      <c r="E145" s="178">
        <v>24</v>
      </c>
      <c r="F145" s="179">
        <f>+E145*D145</f>
        <v>12</v>
      </c>
      <c r="G145" s="179">
        <f>+(D145-$K$144)^2</f>
        <v>1.5492304210049799</v>
      </c>
      <c r="H145" s="270">
        <f>+G145*E145</f>
        <v>37.18153010411952</v>
      </c>
      <c r="J145" s="10"/>
      <c r="K145" s="10"/>
      <c r="L145" s="281"/>
      <c r="M145" s="281"/>
      <c r="N145" s="236"/>
    </row>
    <row r="146" spans="1:14" ht="15.75" customHeight="1">
      <c r="A146" s="234"/>
      <c r="B146" s="246"/>
      <c r="C146" s="289" t="s">
        <v>44</v>
      </c>
      <c r="D146" s="181">
        <v>2</v>
      </c>
      <c r="E146" s="172">
        <v>11</v>
      </c>
      <c r="F146" s="173">
        <f>+E146*D146</f>
        <v>22</v>
      </c>
      <c r="G146" s="173">
        <f>+(D146-$K$144)^2</f>
        <v>0.06518786781349023</v>
      </c>
      <c r="H146" s="291">
        <f>+G146*E146</f>
        <v>0.7170665459483925</v>
      </c>
      <c r="J146" s="10"/>
      <c r="K146" s="75">
        <f>+H148/E148</f>
        <v>2.1050248981439568</v>
      </c>
      <c r="L146" s="281"/>
      <c r="M146" s="247"/>
      <c r="N146" s="236"/>
    </row>
    <row r="147" spans="1:14" ht="15.75" customHeight="1" thickBot="1">
      <c r="A147" s="234"/>
      <c r="B147" s="243"/>
      <c r="C147" s="290" t="s">
        <v>45</v>
      </c>
      <c r="D147" s="183">
        <v>4</v>
      </c>
      <c r="E147" s="184">
        <v>12</v>
      </c>
      <c r="F147" s="185">
        <f>+E147*D147</f>
        <v>48</v>
      </c>
      <c r="G147" s="185">
        <f>+(D147-$K$144)^2</f>
        <v>5.086464463558171</v>
      </c>
      <c r="H147" s="273">
        <f>+G147*E147</f>
        <v>61.03757356269805</v>
      </c>
      <c r="J147" s="94"/>
      <c r="K147" s="283"/>
      <c r="L147" s="281"/>
      <c r="M147" s="281"/>
      <c r="N147" s="236"/>
    </row>
    <row r="148" spans="1:14" ht="15.75" customHeight="1" thickBot="1">
      <c r="A148" s="234"/>
      <c r="B148" s="243"/>
      <c r="D148" s="251"/>
      <c r="E148" s="192">
        <f>SUM(E145:E147)</f>
        <v>47</v>
      </c>
      <c r="F148" s="293">
        <f>SUM(F145:F147)</f>
        <v>82</v>
      </c>
      <c r="G148" s="195"/>
      <c r="H148" s="292">
        <f>+SUM(H145:H147)</f>
        <v>98.93617021276596</v>
      </c>
      <c r="J148" s="94"/>
      <c r="K148" s="94"/>
      <c r="N148" s="236"/>
    </row>
    <row r="149" spans="1:14" ht="15.75" customHeight="1">
      <c r="A149" s="234"/>
      <c r="B149" s="243"/>
      <c r="C149" s="243"/>
      <c r="D149" s="248"/>
      <c r="E149" s="243"/>
      <c r="J149" s="282"/>
      <c r="K149" s="174"/>
      <c r="N149" s="236"/>
    </row>
    <row r="150" spans="1:14" ht="15.75" customHeight="1">
      <c r="A150" s="234"/>
      <c r="B150" s="189" t="s">
        <v>260</v>
      </c>
      <c r="C150" s="243"/>
      <c r="D150" s="248"/>
      <c r="E150" s="243"/>
      <c r="N150" s="236"/>
    </row>
    <row r="151" spans="1:14" ht="10.5" customHeight="1">
      <c r="A151" s="234"/>
      <c r="B151" s="243"/>
      <c r="C151" s="243"/>
      <c r="D151" s="248"/>
      <c r="E151" s="247"/>
      <c r="N151" s="236"/>
    </row>
    <row r="152" spans="1:14" ht="15.75" customHeight="1" thickBot="1">
      <c r="A152" s="234"/>
      <c r="B152" s="243"/>
      <c r="C152" s="243"/>
      <c r="D152" s="248"/>
      <c r="E152" s="243"/>
      <c r="N152" s="236"/>
    </row>
    <row r="153" spans="1:14" ht="15.75" customHeight="1" thickBot="1">
      <c r="A153" s="234"/>
      <c r="B153" s="243"/>
      <c r="C153" s="243"/>
      <c r="D153" s="248"/>
      <c r="E153" s="243"/>
      <c r="F153" s="285">
        <f>+SQRT(K146/E148)</f>
        <v>0.21163119758272161</v>
      </c>
      <c r="N153" s="236"/>
    </row>
    <row r="154" spans="1:14" ht="15.75" customHeight="1">
      <c r="A154" s="234"/>
      <c r="B154" s="243"/>
      <c r="C154" s="243"/>
      <c r="D154" s="248"/>
      <c r="E154" s="243"/>
      <c r="N154" s="236"/>
    </row>
    <row r="155" spans="1:14" ht="10.5" customHeight="1">
      <c r="A155" s="234"/>
      <c r="B155" s="243"/>
      <c r="C155" s="243"/>
      <c r="D155" s="248"/>
      <c r="E155" s="243"/>
      <c r="N155" s="236"/>
    </row>
    <row r="156" spans="1:14" ht="15.75" customHeight="1">
      <c r="A156" s="234"/>
      <c r="B156" s="249" t="s">
        <v>1</v>
      </c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50"/>
    </row>
    <row r="157" spans="1:14" ht="15.75" customHeight="1">
      <c r="A157" s="234"/>
      <c r="B157" s="286" t="s">
        <v>0</v>
      </c>
      <c r="C157" s="243"/>
      <c r="D157" s="248"/>
      <c r="E157" s="243"/>
      <c r="N157" s="236"/>
    </row>
    <row r="158" spans="1:14" ht="15.75" customHeight="1">
      <c r="A158" s="234"/>
      <c r="B158" s="286"/>
      <c r="C158" s="243"/>
      <c r="D158" s="248"/>
      <c r="E158" s="243"/>
      <c r="N158" s="236"/>
    </row>
    <row r="159" spans="1:14" ht="15.75" customHeight="1">
      <c r="A159" s="50" t="s">
        <v>31</v>
      </c>
      <c r="B159" s="32" t="s">
        <v>2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9"/>
    </row>
    <row r="160" spans="1:14" ht="15.75" customHeight="1">
      <c r="A160" s="234"/>
      <c r="B160" s="32" t="s">
        <v>3</v>
      </c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N160" s="236"/>
    </row>
    <row r="161" spans="1:14" ht="15.75" customHeight="1" thickBot="1">
      <c r="A161" s="234"/>
      <c r="N161" s="236"/>
    </row>
    <row r="162" spans="1:16" ht="19.5" customHeight="1" thickBot="1">
      <c r="A162" s="234"/>
      <c r="C162" s="287" t="s">
        <v>258</v>
      </c>
      <c r="D162" s="168" t="s">
        <v>177</v>
      </c>
      <c r="E162" s="165" t="s">
        <v>178</v>
      </c>
      <c r="F162" s="176" t="s">
        <v>181</v>
      </c>
      <c r="G162" s="166" t="s">
        <v>179</v>
      </c>
      <c r="H162" s="167" t="s">
        <v>182</v>
      </c>
      <c r="J162" s="78" t="s">
        <v>180</v>
      </c>
      <c r="K162" s="79">
        <f>+F166/E166</f>
        <v>1.4910714285714286</v>
      </c>
      <c r="N162" s="236"/>
      <c r="P162" s="216">
        <f>+J122</f>
        <v>0</v>
      </c>
    </row>
    <row r="163" spans="1:14" ht="15.75" customHeight="1">
      <c r="A163" s="234"/>
      <c r="C163" s="288" t="s">
        <v>43</v>
      </c>
      <c r="D163" s="177">
        <v>0.5</v>
      </c>
      <c r="E163" s="178">
        <v>31</v>
      </c>
      <c r="F163" s="179">
        <f>E163*D163</f>
        <v>15.5</v>
      </c>
      <c r="G163" s="179">
        <f>+(D163-$K$162)^2</f>
        <v>0.9822225765306123</v>
      </c>
      <c r="H163" s="270">
        <f>+G163*E163</f>
        <v>30.44889987244898</v>
      </c>
      <c r="I163" s="251"/>
      <c r="J163" s="10"/>
      <c r="K163" s="10"/>
      <c r="N163" s="236"/>
    </row>
    <row r="164" spans="1:14" ht="15.75" customHeight="1">
      <c r="A164" s="234"/>
      <c r="C164" s="289" t="s">
        <v>44</v>
      </c>
      <c r="D164" s="181">
        <v>2</v>
      </c>
      <c r="E164" s="172">
        <v>16</v>
      </c>
      <c r="F164" s="173">
        <f>E164*D164</f>
        <v>32</v>
      </c>
      <c r="G164" s="173">
        <f>+(D164-$K$162)^2</f>
        <v>0.2590082908163265</v>
      </c>
      <c r="H164" s="291">
        <f>+G164*E164</f>
        <v>4.144132653061224</v>
      </c>
      <c r="J164" s="10"/>
      <c r="K164" s="75">
        <f>+H166/E166</f>
        <v>1.6293845663265303</v>
      </c>
      <c r="N164" s="236"/>
    </row>
    <row r="165" spans="1:14" ht="15.75" customHeight="1" thickBot="1">
      <c r="A165" s="234"/>
      <c r="C165" s="290" t="s">
        <v>45</v>
      </c>
      <c r="D165" s="183">
        <v>4</v>
      </c>
      <c r="E165" s="184">
        <v>9</v>
      </c>
      <c r="F165" s="185">
        <f>E165*D165</f>
        <v>36</v>
      </c>
      <c r="G165" s="185">
        <f>+(D165-$K$162)^2</f>
        <v>6.294722576530611</v>
      </c>
      <c r="H165" s="273">
        <f>+G165*E165</f>
        <v>56.6525031887755</v>
      </c>
      <c r="I165" s="251"/>
      <c r="N165" s="236"/>
    </row>
    <row r="166" spans="1:14" ht="15.75" customHeight="1" thickBot="1">
      <c r="A166" s="234"/>
      <c r="D166" s="251"/>
      <c r="E166" s="192">
        <f>SUM(E163:E165)</f>
        <v>56</v>
      </c>
      <c r="F166" s="293">
        <f>SUM(F163:F165)</f>
        <v>83.5</v>
      </c>
      <c r="G166" s="195"/>
      <c r="H166" s="292">
        <f>SUM(H163:H165)</f>
        <v>91.2455357142857</v>
      </c>
      <c r="J166" s="74" t="s">
        <v>5</v>
      </c>
      <c r="K166" s="284">
        <v>0.05</v>
      </c>
      <c r="N166" s="236"/>
    </row>
    <row r="167" spans="1:14" ht="15.75" customHeight="1">
      <c r="A167" s="234"/>
      <c r="H167" s="252"/>
      <c r="I167" s="253"/>
      <c r="N167" s="236"/>
    </row>
    <row r="168" spans="1:14" ht="15.75" customHeight="1">
      <c r="A168" s="234"/>
      <c r="H168" s="254"/>
      <c r="I168" s="254"/>
      <c r="N168" s="236"/>
    </row>
    <row r="169" spans="1:14" ht="15.75" customHeight="1">
      <c r="A169" s="234"/>
      <c r="B169" s="375" t="s">
        <v>4</v>
      </c>
      <c r="C169" s="351"/>
      <c r="D169" s="351"/>
      <c r="H169" s="254"/>
      <c r="I169" s="7" t="s">
        <v>165</v>
      </c>
      <c r="J169" s="3" t="s">
        <v>6</v>
      </c>
      <c r="K169" s="12">
        <f>-NORMSINV(0.025)</f>
        <v>1.9599639845400545</v>
      </c>
      <c r="N169" s="236"/>
    </row>
    <row r="170" spans="1:14" ht="15.75" customHeight="1">
      <c r="A170" s="234"/>
      <c r="N170" s="236"/>
    </row>
    <row r="171" spans="1:14" ht="15.75" customHeight="1" thickBot="1">
      <c r="A171" s="234"/>
      <c r="N171" s="236"/>
    </row>
    <row r="172" spans="1:14" ht="15.75" customHeight="1">
      <c r="A172" s="234"/>
      <c r="B172" s="10" t="s">
        <v>9</v>
      </c>
      <c r="H172" s="80" t="s">
        <v>114</v>
      </c>
      <c r="I172" s="294">
        <f>+K162-K169*SQRT(K164/E166)</f>
        <v>1.1567487199868633</v>
      </c>
      <c r="N172" s="236"/>
    </row>
    <row r="173" spans="1:14" ht="15.75" customHeight="1" thickBot="1">
      <c r="A173" s="234"/>
      <c r="H173" s="82" t="s">
        <v>115</v>
      </c>
      <c r="I173" s="295">
        <f>+K162+K169*SQRT(K164/E166)</f>
        <v>1.8253941371559939</v>
      </c>
      <c r="N173" s="236"/>
    </row>
    <row r="174" spans="1:15" ht="15.75" customHeight="1">
      <c r="A174" s="234"/>
      <c r="N174" s="236"/>
      <c r="O174" s="233"/>
    </row>
    <row r="175" spans="1:15" ht="15.75" customHeight="1">
      <c r="A175" s="234"/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3"/>
    </row>
    <row r="176" ht="15.75" customHeight="1">
      <c r="O176" s="233"/>
    </row>
    <row r="177" ht="15.75" customHeight="1">
      <c r="O177" s="233"/>
    </row>
    <row r="178" ht="12.75">
      <c r="O178" s="233"/>
    </row>
    <row r="179" ht="12.75">
      <c r="O179" s="233"/>
    </row>
  </sheetData>
  <sheetProtection/>
  <mergeCells count="16">
    <mergeCell ref="B169:D169"/>
    <mergeCell ref="C119:C120"/>
    <mergeCell ref="D119:F119"/>
    <mergeCell ref="C127:C128"/>
    <mergeCell ref="D127:F127"/>
    <mergeCell ref="G139:L139"/>
    <mergeCell ref="C22:C23"/>
    <mergeCell ref="D22:F22"/>
    <mergeCell ref="C105:C106"/>
    <mergeCell ref="D105:F105"/>
    <mergeCell ref="B134:C134"/>
    <mergeCell ref="A1:N1"/>
    <mergeCell ref="A34:N34"/>
    <mergeCell ref="G70:J70"/>
    <mergeCell ref="G100:J100"/>
    <mergeCell ref="C42:G42"/>
  </mergeCells>
  <printOptions/>
  <pageMargins left="0.32" right="0.45" top="0.66" bottom="0.53" header="0.5" footer="0.5"/>
  <pageSetup horizontalDpi="200" verticalDpi="200" orientation="portrait" paperSize="9" scale="65" r:id="rId23"/>
  <rowBreaks count="2" manualBreakCount="2">
    <brk id="33" max="13" man="1"/>
    <brk id="102" max="13" man="1"/>
  </rowBreaks>
  <drawing r:id="rId22"/>
  <legacyDrawing r:id="rId21"/>
  <oleObjects>
    <oleObject progId="Equation.3" shapeId="27626" r:id="rId1"/>
    <oleObject progId="Equation.3" shapeId="232538" r:id="rId2"/>
    <oleObject progId="Equation.3" shapeId="260356" r:id="rId3"/>
    <oleObject progId="Equation.3" shapeId="261029" r:id="rId4"/>
    <oleObject progId="Equation.3" shapeId="188839" r:id="rId5"/>
    <oleObject progId="Equation.3" shapeId="189310" r:id="rId6"/>
    <oleObject progId="Equation.3" shapeId="1644762" r:id="rId7"/>
    <oleObject progId="Equation.3" shapeId="1674929" r:id="rId8"/>
    <oleObject progId="Equation.3" shapeId="1740134" r:id="rId9"/>
    <oleObject progId="Equation.3" shapeId="1849531" r:id="rId10"/>
    <oleObject progId="Equation.3" shapeId="1849532" r:id="rId11"/>
    <oleObject progId="Equation.3" shapeId="1897047" r:id="rId12"/>
    <oleObject progId="Equation.3" shapeId="1897048" r:id="rId13"/>
    <oleObject progId="Equation.3" shapeId="1897049" r:id="rId14"/>
    <oleObject progId="Equation.3" shapeId="1897050" r:id="rId15"/>
    <oleObject progId="Equation.3" shapeId="1897051" r:id="rId16"/>
    <oleObject progId="Equation.3" shapeId="1897052" r:id="rId17"/>
    <oleObject progId="Equation.3" shapeId="1986100" r:id="rId18"/>
    <oleObject progId="Equation.3" shapeId="1989488" r:id="rId19"/>
    <oleObject progId="Equation.3" shapeId="2027357" r:id="rId20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169"/>
  <sheetViews>
    <sheetView zoomScale="88" zoomScaleNormal="88" zoomScalePageLayoutView="0" workbookViewId="0" topLeftCell="A1">
      <selection activeCell="F156" sqref="F156"/>
    </sheetView>
  </sheetViews>
  <sheetFormatPr defaultColWidth="9.140625" defaultRowHeight="12.75"/>
  <cols>
    <col min="1" max="1" width="4.7109375" style="51" customWidth="1"/>
    <col min="2" max="2" width="9.140625" style="10" customWidth="1"/>
    <col min="3" max="3" width="13.57421875" style="10" customWidth="1"/>
    <col min="4" max="4" width="16.140625" style="10" customWidth="1"/>
    <col min="5" max="5" width="17.28125" style="10" customWidth="1"/>
    <col min="6" max="6" width="10.00390625" style="10" bestFit="1" customWidth="1"/>
    <col min="7" max="7" width="9.140625" style="10" customWidth="1"/>
    <col min="8" max="8" width="17.28125" style="10" bestFit="1" customWidth="1"/>
    <col min="9" max="9" width="9.140625" style="10" customWidth="1"/>
    <col min="10" max="10" width="10.00390625" style="10" bestFit="1" customWidth="1"/>
    <col min="11" max="11" width="9.140625" style="10" customWidth="1"/>
    <col min="12" max="12" width="18.57421875" style="10" customWidth="1"/>
    <col min="13" max="13" width="4.7109375" style="10" customWidth="1"/>
    <col min="14" max="16384" width="9.140625" style="10" customWidth="1"/>
  </cols>
  <sheetData>
    <row r="1" spans="1:13" ht="25.5" customHeight="1">
      <c r="A1" s="341" t="s">
        <v>348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3.5">
      <c r="A2" s="47"/>
      <c r="M2" s="15"/>
    </row>
    <row r="3" spans="1:13" ht="13.5">
      <c r="A3" s="47"/>
      <c r="B3" s="358" t="s">
        <v>357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15"/>
    </row>
    <row r="4" spans="1:13" ht="13.5">
      <c r="A4" s="47"/>
      <c r="B4" s="351" t="s">
        <v>358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15"/>
    </row>
    <row r="5" spans="1:13" ht="13.5">
      <c r="A5" s="47"/>
      <c r="B5" s="358" t="s">
        <v>264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15"/>
    </row>
    <row r="6" spans="1:13" ht="13.5">
      <c r="A6" s="47"/>
      <c r="B6" s="358" t="s">
        <v>359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15"/>
    </row>
    <row r="7" spans="1:13" ht="13.5">
      <c r="A7" s="47"/>
      <c r="B7" s="1" t="s">
        <v>270</v>
      </c>
      <c r="C7" s="2" t="s">
        <v>360</v>
      </c>
      <c r="D7" s="1"/>
      <c r="E7" s="1"/>
      <c r="F7" s="1"/>
      <c r="G7" s="1"/>
      <c r="H7" s="1"/>
      <c r="I7" s="1"/>
      <c r="J7" s="1"/>
      <c r="K7" s="1"/>
      <c r="L7" s="1"/>
      <c r="M7" s="15"/>
    </row>
    <row r="8" spans="1:13" ht="13.5">
      <c r="A8" s="47"/>
      <c r="B8" s="358" t="s">
        <v>361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15"/>
    </row>
    <row r="9" spans="1:13" ht="13.5">
      <c r="A9" s="47"/>
      <c r="B9" s="351" t="s">
        <v>362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15"/>
    </row>
    <row r="10" spans="1:13" ht="13.5">
      <c r="A10" s="47"/>
      <c r="M10" s="15"/>
    </row>
    <row r="11" spans="1:13" ht="13.5">
      <c r="A11" s="47"/>
      <c r="B11" s="358" t="s">
        <v>363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15"/>
    </row>
    <row r="12" spans="1:13" ht="13.5">
      <c r="A12" s="47"/>
      <c r="B12" s="351" t="s">
        <v>364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15"/>
    </row>
    <row r="13" spans="1:13" ht="13.5">
      <c r="A13" s="47"/>
      <c r="B13" s="351" t="s">
        <v>365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15"/>
    </row>
    <row r="14" spans="1:14" ht="14.25">
      <c r="A14" s="47"/>
      <c r="B14" s="32" t="s">
        <v>356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5"/>
      <c r="N14" s="32"/>
    </row>
    <row r="15" spans="1:14" ht="13.5">
      <c r="A15" s="47"/>
      <c r="B15" s="32" t="s">
        <v>262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5"/>
      <c r="N15" s="32"/>
    </row>
    <row r="16" spans="1:14" ht="13.5">
      <c r="A16" s="47"/>
      <c r="B16" s="32" t="s">
        <v>263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5"/>
      <c r="N16" s="32"/>
    </row>
    <row r="17" spans="1:13" ht="13.5">
      <c r="A17" s="47"/>
      <c r="M17" s="15"/>
    </row>
    <row r="18" spans="1:14" ht="13.5">
      <c r="A18" s="47"/>
      <c r="B18" s="34" t="s">
        <v>366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7"/>
      <c r="N18" s="34"/>
    </row>
    <row r="19" spans="1:14" ht="13.5">
      <c r="A19" s="47"/>
      <c r="B19" s="32" t="s">
        <v>367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5"/>
      <c r="N19" s="32"/>
    </row>
    <row r="20" spans="1:14" ht="14.25" thickBot="1">
      <c r="A20" s="4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8"/>
      <c r="N20" s="2"/>
    </row>
    <row r="21" spans="1:14" ht="13.5">
      <c r="A21" s="47"/>
      <c r="B21" s="2"/>
      <c r="C21" s="337" t="s">
        <v>267</v>
      </c>
      <c r="D21" s="339" t="s">
        <v>266</v>
      </c>
      <c r="E21" s="340"/>
      <c r="F21" s="333"/>
      <c r="G21" s="337" t="s">
        <v>22</v>
      </c>
      <c r="H21" s="2"/>
      <c r="I21" s="2"/>
      <c r="J21" s="2"/>
      <c r="K21" s="2"/>
      <c r="L21" s="2"/>
      <c r="M21" s="38"/>
      <c r="N21" s="2"/>
    </row>
    <row r="22" spans="1:14" ht="14.25" thickBot="1">
      <c r="A22" s="47"/>
      <c r="B22" s="2"/>
      <c r="C22" s="338"/>
      <c r="D22" s="222" t="s">
        <v>265</v>
      </c>
      <c r="E22" s="223" t="s">
        <v>268</v>
      </c>
      <c r="F22" s="224" t="s">
        <v>269</v>
      </c>
      <c r="G22" s="338"/>
      <c r="H22" s="2"/>
      <c r="I22" s="2"/>
      <c r="J22" s="2"/>
      <c r="K22" s="2"/>
      <c r="L22" s="2"/>
      <c r="M22" s="38"/>
      <c r="N22" s="2"/>
    </row>
    <row r="23" spans="1:14" ht="13.5">
      <c r="A23" s="47"/>
      <c r="B23" s="2"/>
      <c r="C23" s="225" t="s">
        <v>46</v>
      </c>
      <c r="D23" s="226">
        <v>42</v>
      </c>
      <c r="E23" s="227">
        <v>35</v>
      </c>
      <c r="F23" s="228">
        <v>19</v>
      </c>
      <c r="G23" s="225">
        <v>96</v>
      </c>
      <c r="H23" s="2"/>
      <c r="I23" s="2"/>
      <c r="J23" s="2"/>
      <c r="K23" s="2"/>
      <c r="L23" s="2"/>
      <c r="M23" s="38"/>
      <c r="N23" s="2"/>
    </row>
    <row r="24" spans="1:14" ht="14.25" thickBot="1">
      <c r="A24" s="47"/>
      <c r="B24" s="2"/>
      <c r="C24" s="229" t="s">
        <v>47</v>
      </c>
      <c r="D24" s="230">
        <v>55</v>
      </c>
      <c r="E24" s="231">
        <v>31</v>
      </c>
      <c r="F24" s="232">
        <v>18</v>
      </c>
      <c r="G24" s="229">
        <v>104</v>
      </c>
      <c r="H24" s="2"/>
      <c r="I24" s="2"/>
      <c r="J24" s="2"/>
      <c r="K24" s="2"/>
      <c r="L24" s="2"/>
      <c r="M24" s="38"/>
      <c r="N24" s="2"/>
    </row>
    <row r="25" spans="1:13" ht="13.5" customHeight="1" thickBot="1">
      <c r="A25" s="47"/>
      <c r="C25" s="229" t="s">
        <v>22</v>
      </c>
      <c r="D25" s="222">
        <v>97</v>
      </c>
      <c r="E25" s="222">
        <v>66</v>
      </c>
      <c r="F25" s="222">
        <v>37</v>
      </c>
      <c r="G25" s="229">
        <v>200</v>
      </c>
      <c r="M25" s="15"/>
    </row>
    <row r="26" spans="1:13" ht="13.5" customHeight="1">
      <c r="A26" s="47"/>
      <c r="C26" s="297"/>
      <c r="D26" s="296"/>
      <c r="E26" s="296"/>
      <c r="F26" s="296"/>
      <c r="M26" s="15"/>
    </row>
    <row r="27" spans="1:14" ht="13.5">
      <c r="A27" s="47"/>
      <c r="B27" s="32" t="s">
        <v>272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5"/>
      <c r="N27" s="32"/>
    </row>
    <row r="28" spans="1:14" ht="13.5">
      <c r="A28" s="47"/>
      <c r="B28" s="32" t="s">
        <v>274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5"/>
      <c r="N28" s="32"/>
    </row>
    <row r="29" spans="1:14" ht="13.5">
      <c r="A29" s="47"/>
      <c r="B29" s="32" t="s">
        <v>273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5"/>
      <c r="N29" s="32"/>
    </row>
    <row r="30" spans="1:14" ht="14.25">
      <c r="A30" s="47"/>
      <c r="B30" s="32" t="s">
        <v>368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5"/>
      <c r="N30" s="32"/>
    </row>
    <row r="31" spans="1:14" ht="13.5">
      <c r="A31" s="47"/>
      <c r="B31" s="32"/>
      <c r="C31" s="32" t="s">
        <v>271</v>
      </c>
      <c r="D31" s="32"/>
      <c r="E31" s="32"/>
      <c r="F31" s="32"/>
      <c r="G31" s="32"/>
      <c r="H31" s="32"/>
      <c r="I31" s="32"/>
      <c r="J31" s="32"/>
      <c r="K31" s="32"/>
      <c r="L31" s="32"/>
      <c r="M31" s="35"/>
      <c r="N31" s="32"/>
    </row>
    <row r="32" spans="1:14" ht="13.5">
      <c r="A32" s="47"/>
      <c r="B32" s="32" t="s">
        <v>275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5"/>
      <c r="N32" s="32"/>
    </row>
    <row r="33" spans="1:13" ht="14.25">
      <c r="A33" s="47"/>
      <c r="C33" s="10" t="s">
        <v>369</v>
      </c>
      <c r="M33" s="15"/>
    </row>
    <row r="34" spans="1:13" ht="13.5">
      <c r="A34" s="47"/>
      <c r="M34" s="15"/>
    </row>
    <row r="35" spans="1:13" ht="13.5">
      <c r="A35" s="4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22.5" customHeight="1">
      <c r="A36" s="347" t="s">
        <v>276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</row>
    <row r="37" spans="1:13" ht="13.5">
      <c r="A37" s="48"/>
      <c r="M37" s="27"/>
    </row>
    <row r="38" spans="1:13" ht="15">
      <c r="A38" s="49" t="s">
        <v>81</v>
      </c>
      <c r="M38" s="27"/>
    </row>
    <row r="39" spans="1:13" ht="15">
      <c r="A39" s="49"/>
      <c r="M39" s="27"/>
    </row>
    <row r="40" spans="1:13" ht="15">
      <c r="A40" s="49"/>
      <c r="M40" s="27"/>
    </row>
    <row r="41" spans="1:13" ht="15">
      <c r="A41" s="49"/>
      <c r="M41" s="27"/>
    </row>
    <row r="42" spans="1:13" ht="13.5">
      <c r="A42" s="50" t="s">
        <v>26</v>
      </c>
      <c r="B42" s="351" t="s">
        <v>350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27"/>
    </row>
    <row r="43" spans="1:13" ht="14.25" thickBot="1">
      <c r="A43" s="50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27"/>
    </row>
    <row r="44" spans="1:13" ht="14.25" thickBot="1">
      <c r="A44" s="48"/>
      <c r="D44" s="88" t="s">
        <v>277</v>
      </c>
      <c r="E44" s="89" t="s">
        <v>349</v>
      </c>
      <c r="F44" s="87">
        <f>1-0.9</f>
        <v>0.09999999999999998</v>
      </c>
      <c r="M44" s="27"/>
    </row>
    <row r="45" spans="1:13" ht="18.75" customHeight="1">
      <c r="A45" s="48"/>
      <c r="M45" s="27"/>
    </row>
    <row r="46" spans="1:13" ht="13.5">
      <c r="A46" s="50" t="s">
        <v>27</v>
      </c>
      <c r="B46" s="351" t="s">
        <v>351</v>
      </c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27"/>
    </row>
    <row r="47" spans="1:13" ht="13.5">
      <c r="A47" s="48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27"/>
    </row>
    <row r="48" spans="1:13" ht="13.5">
      <c r="A48" s="48"/>
      <c r="B48" s="2" t="s">
        <v>338</v>
      </c>
      <c r="C48" s="1"/>
      <c r="D48" s="1"/>
      <c r="E48" s="1"/>
      <c r="F48" s="1"/>
      <c r="G48" s="1"/>
      <c r="H48" s="1"/>
      <c r="I48" s="1"/>
      <c r="J48" s="1"/>
      <c r="K48" s="1"/>
      <c r="M48" s="27"/>
    </row>
    <row r="49" spans="1:13" ht="13.5">
      <c r="A49" s="48"/>
      <c r="B49" s="2" t="s">
        <v>278</v>
      </c>
      <c r="C49" s="1"/>
      <c r="D49" s="1"/>
      <c r="E49" s="1"/>
      <c r="F49" s="1"/>
      <c r="G49" s="1"/>
      <c r="H49" s="1"/>
      <c r="I49" s="1"/>
      <c r="J49" s="1"/>
      <c r="K49" s="1"/>
      <c r="M49" s="27"/>
    </row>
    <row r="50" spans="1:13" ht="14.25" thickBot="1">
      <c r="A50" s="48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27"/>
    </row>
    <row r="51" spans="1:13" ht="13.5">
      <c r="A51" s="48"/>
      <c r="B51" s="1"/>
      <c r="C51" s="2"/>
      <c r="D51" s="80" t="s">
        <v>279</v>
      </c>
      <c r="E51" s="299">
        <v>50</v>
      </c>
      <c r="F51" s="1"/>
      <c r="G51" s="1"/>
      <c r="H51" s="1"/>
      <c r="I51" s="1"/>
      <c r="J51" s="1"/>
      <c r="K51" s="1"/>
      <c r="L51" s="1"/>
      <c r="M51" s="27"/>
    </row>
    <row r="52" spans="1:13" ht="14.25" thickBot="1">
      <c r="A52" s="48"/>
      <c r="B52" s="1"/>
      <c r="C52" s="2"/>
      <c r="D52" s="82" t="s">
        <v>280</v>
      </c>
      <c r="E52" s="300">
        <f>100</f>
        <v>100</v>
      </c>
      <c r="F52" s="1"/>
      <c r="G52" s="1"/>
      <c r="H52" s="1"/>
      <c r="I52" s="1"/>
      <c r="J52" s="1"/>
      <c r="K52" s="1"/>
      <c r="L52" s="1"/>
      <c r="M52" s="27"/>
    </row>
    <row r="53" spans="1:13" ht="13.5">
      <c r="A53" s="48"/>
      <c r="B53" s="1"/>
      <c r="C53" s="2"/>
      <c r="D53" s="1"/>
      <c r="E53" s="2"/>
      <c r="F53" s="1"/>
      <c r="G53" s="1"/>
      <c r="H53" s="1"/>
      <c r="I53" s="1"/>
      <c r="J53" s="1"/>
      <c r="K53" s="1"/>
      <c r="L53" s="1"/>
      <c r="M53" s="27"/>
    </row>
    <row r="54" spans="1:13" ht="13.5">
      <c r="A54" s="48" t="s">
        <v>31</v>
      </c>
      <c r="B54" s="351" t="s">
        <v>352</v>
      </c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27"/>
    </row>
    <row r="55" spans="1:13" ht="13.5">
      <c r="A55" s="48"/>
      <c r="B55" s="1"/>
      <c r="C55" s="2"/>
      <c r="D55" s="1"/>
      <c r="E55" s="1"/>
      <c r="F55" s="1"/>
      <c r="H55" s="1"/>
      <c r="I55" s="1"/>
      <c r="J55" s="1"/>
      <c r="K55" s="1"/>
      <c r="L55" s="1"/>
      <c r="M55" s="27"/>
    </row>
    <row r="56" spans="1:13" ht="13.5">
      <c r="A56" s="48"/>
      <c r="B56" s="2" t="s">
        <v>339</v>
      </c>
      <c r="C56" s="1"/>
      <c r="D56" s="1"/>
      <c r="E56" s="1"/>
      <c r="F56" s="1"/>
      <c r="H56" s="1"/>
      <c r="I56" s="1"/>
      <c r="J56" s="1"/>
      <c r="K56" s="1"/>
      <c r="L56" s="1"/>
      <c r="M56" s="27"/>
    </row>
    <row r="57" spans="1:13" ht="13.5">
      <c r="A57" s="48"/>
      <c r="B57" s="2" t="s">
        <v>281</v>
      </c>
      <c r="C57" s="1"/>
      <c r="D57" s="1"/>
      <c r="E57" s="1"/>
      <c r="F57" s="1"/>
      <c r="G57" s="1"/>
      <c r="H57" s="2" t="s">
        <v>282</v>
      </c>
      <c r="I57" s="2"/>
      <c r="K57" s="1"/>
      <c r="L57" s="1"/>
      <c r="M57" s="27"/>
    </row>
    <row r="58" spans="1:13" ht="14.25">
      <c r="A58" s="48"/>
      <c r="B58" s="2" t="s">
        <v>283</v>
      </c>
      <c r="C58" s="1"/>
      <c r="D58" s="1"/>
      <c r="E58" s="1"/>
      <c r="F58" s="2" t="s">
        <v>284</v>
      </c>
      <c r="G58" s="2"/>
      <c r="H58" s="1"/>
      <c r="I58" s="1"/>
      <c r="J58" s="1"/>
      <c r="K58" s="1"/>
      <c r="L58" s="1"/>
      <c r="M58" s="27"/>
    </row>
    <row r="59" spans="1:13" ht="19.5" customHeight="1">
      <c r="A59" s="48"/>
      <c r="B59" s="10" t="s">
        <v>89</v>
      </c>
      <c r="D59" s="1"/>
      <c r="E59" s="54"/>
      <c r="F59" s="2" t="s">
        <v>340</v>
      </c>
      <c r="G59" s="1"/>
      <c r="H59" s="1"/>
      <c r="I59" s="1"/>
      <c r="J59" s="1"/>
      <c r="K59" s="1"/>
      <c r="L59" s="1"/>
      <c r="M59" s="27"/>
    </row>
    <row r="60" spans="1:13" ht="14.25">
      <c r="A60" s="48"/>
      <c r="B60" s="2" t="s">
        <v>91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27"/>
    </row>
    <row r="61" spans="1:13" ht="14.25" thickBot="1">
      <c r="A61" s="48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27"/>
    </row>
    <row r="62" spans="1:13" ht="14.25" thickBot="1">
      <c r="A62" s="48"/>
      <c r="B62" s="2"/>
      <c r="C62" s="84" t="s">
        <v>286</v>
      </c>
      <c r="D62" s="85"/>
      <c r="E62" s="85"/>
      <c r="F62" s="85"/>
      <c r="G62" s="85"/>
      <c r="H62" s="85" t="s">
        <v>285</v>
      </c>
      <c r="I62" s="86"/>
      <c r="J62" s="87"/>
      <c r="K62" s="1"/>
      <c r="L62" s="1"/>
      <c r="M62" s="27"/>
    </row>
    <row r="63" spans="1:13" ht="13.5">
      <c r="A63" s="48"/>
      <c r="M63" s="27"/>
    </row>
    <row r="64" spans="1:13" ht="13.5">
      <c r="A64" s="48"/>
      <c r="M64" s="27"/>
    </row>
    <row r="65" spans="1:13" ht="15">
      <c r="A65" s="118" t="s">
        <v>82</v>
      </c>
      <c r="M65" s="27"/>
    </row>
    <row r="66" spans="1:13" ht="15">
      <c r="A66" s="118"/>
      <c r="M66" s="27"/>
    </row>
    <row r="67" spans="1:13" ht="14.25">
      <c r="A67" s="119" t="s">
        <v>26</v>
      </c>
      <c r="B67" s="32" t="s">
        <v>353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9"/>
    </row>
    <row r="68" spans="1:13" ht="14.25">
      <c r="A68" s="119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9"/>
    </row>
    <row r="69" spans="1:13" ht="14.25">
      <c r="A69" s="119"/>
      <c r="B69" s="32"/>
      <c r="C69" s="32"/>
      <c r="D69" s="135">
        <f>16/150</f>
        <v>0.10666666666666667</v>
      </c>
      <c r="E69" s="32"/>
      <c r="F69" s="32"/>
      <c r="G69" s="32"/>
      <c r="H69" s="32"/>
      <c r="I69" s="32"/>
      <c r="J69" s="32"/>
      <c r="K69" s="32"/>
      <c r="L69" s="32"/>
      <c r="M69" s="39"/>
    </row>
    <row r="70" spans="1:13" ht="14.25">
      <c r="A70" s="119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9"/>
    </row>
    <row r="71" spans="1:13" ht="13.5">
      <c r="A71" s="11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40"/>
    </row>
    <row r="72" spans="1:13" ht="15">
      <c r="A72" s="119"/>
      <c r="B72" s="2"/>
      <c r="C72" s="7" t="s">
        <v>171</v>
      </c>
      <c r="D72" s="2"/>
      <c r="E72" s="73" t="s">
        <v>172</v>
      </c>
      <c r="F72" s="1">
        <v>0.12</v>
      </c>
      <c r="H72" s="74" t="s">
        <v>102</v>
      </c>
      <c r="I72" s="1">
        <v>0.05</v>
      </c>
      <c r="J72" s="2"/>
      <c r="K72" s="2"/>
      <c r="L72" s="2"/>
      <c r="M72" s="40"/>
    </row>
    <row r="73" spans="1:13" ht="15">
      <c r="A73" s="119"/>
      <c r="B73" s="2"/>
      <c r="C73" s="7" t="s">
        <v>251</v>
      </c>
      <c r="D73" s="2"/>
      <c r="E73" s="2"/>
      <c r="F73" s="2"/>
      <c r="G73" s="2"/>
      <c r="H73" s="2"/>
      <c r="I73" s="2"/>
      <c r="J73" s="2"/>
      <c r="K73" s="2"/>
      <c r="L73" s="2"/>
      <c r="M73" s="40"/>
    </row>
    <row r="74" spans="1:13" ht="14.25">
      <c r="A74" s="11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40"/>
    </row>
    <row r="75" spans="1:13" ht="14.25">
      <c r="A75" s="119"/>
      <c r="B75" s="33" t="s">
        <v>97</v>
      </c>
      <c r="C75" s="138"/>
      <c r="D75" s="138"/>
      <c r="E75" s="318" t="s">
        <v>33</v>
      </c>
      <c r="F75" s="319">
        <f>+(D69-F72)/SQRT((F72*(1-F72))/150)</f>
        <v>-0.5025189076296056</v>
      </c>
      <c r="G75" s="138"/>
      <c r="H75" s="75"/>
      <c r="I75" s="138"/>
      <c r="J75" s="138"/>
      <c r="K75" s="138"/>
      <c r="L75" s="138"/>
      <c r="M75" s="40"/>
    </row>
    <row r="76" spans="1:13" ht="14.25">
      <c r="A76" s="11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40"/>
    </row>
    <row r="77" spans="1:13" ht="14.25">
      <c r="A77" s="119"/>
      <c r="B77" s="2"/>
      <c r="C77" s="2"/>
      <c r="D77" s="2"/>
      <c r="F77" s="2"/>
      <c r="G77" s="2"/>
      <c r="H77" s="2"/>
      <c r="I77" s="2"/>
      <c r="J77" s="2"/>
      <c r="K77" s="2"/>
      <c r="L77" s="2"/>
      <c r="M77" s="40"/>
    </row>
    <row r="78" spans="1:13" ht="17.25">
      <c r="A78" s="119"/>
      <c r="B78" s="32" t="s">
        <v>287</v>
      </c>
      <c r="C78" s="32"/>
      <c r="D78" s="32"/>
      <c r="E78" s="32"/>
      <c r="F78" s="32"/>
      <c r="G78" s="32"/>
      <c r="H78" s="72" t="s">
        <v>173</v>
      </c>
      <c r="I78" s="131" t="s">
        <v>135</v>
      </c>
      <c r="J78" s="136">
        <f>-NORMSINV(I72)</f>
        <v>1.6448534756699833</v>
      </c>
      <c r="K78" s="32"/>
      <c r="L78" s="32"/>
      <c r="M78" s="40"/>
    </row>
    <row r="79" spans="1:13" ht="15" thickBot="1">
      <c r="A79" s="11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40"/>
    </row>
    <row r="80" spans="1:13" ht="16.5" thickBot="1">
      <c r="A80" s="119"/>
      <c r="B80" s="2" t="s">
        <v>354</v>
      </c>
      <c r="C80" s="2"/>
      <c r="D80" s="2"/>
      <c r="E80" s="2"/>
      <c r="F80" s="2"/>
      <c r="G80" s="84" t="s">
        <v>203</v>
      </c>
      <c r="H80" s="85"/>
      <c r="I80" s="87"/>
      <c r="K80" s="2"/>
      <c r="L80" s="2"/>
      <c r="M80" s="40"/>
    </row>
    <row r="81" spans="1:13" ht="13.5">
      <c r="A81" s="11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40"/>
    </row>
    <row r="82" spans="1:13" ht="13.5">
      <c r="A82" s="119" t="s">
        <v>27</v>
      </c>
      <c r="B82" s="32" t="s">
        <v>374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9"/>
    </row>
    <row r="83" spans="1:13" ht="13.5">
      <c r="A83" s="27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9"/>
    </row>
    <row r="84" spans="1:13" ht="15.75" thickBot="1">
      <c r="A84" s="27"/>
      <c r="B84" s="32"/>
      <c r="C84" s="32"/>
      <c r="D84" s="301"/>
      <c r="E84" s="32"/>
      <c r="F84" s="32"/>
      <c r="G84" s="32"/>
      <c r="H84" s="32"/>
      <c r="I84" s="32"/>
      <c r="J84" s="32"/>
      <c r="K84" s="32"/>
      <c r="L84" s="32"/>
      <c r="M84" s="39"/>
    </row>
    <row r="85" spans="1:13" ht="15.75" thickBot="1">
      <c r="A85" s="27"/>
      <c r="B85" s="32"/>
      <c r="C85" s="32"/>
      <c r="D85" s="301"/>
      <c r="E85" s="32"/>
      <c r="F85" s="32"/>
      <c r="G85" s="32"/>
      <c r="H85" s="320">
        <f>NORMSDIST(F75)</f>
        <v>0.30765127039724804</v>
      </c>
      <c r="I85" s="32"/>
      <c r="J85" s="32"/>
      <c r="K85" s="32"/>
      <c r="L85" s="32"/>
      <c r="M85" s="39"/>
    </row>
    <row r="86" spans="1:13" ht="15">
      <c r="A86" s="27"/>
      <c r="B86" s="32"/>
      <c r="C86" s="32"/>
      <c r="D86" s="301"/>
      <c r="E86" s="32"/>
      <c r="F86" s="32"/>
      <c r="G86" s="32"/>
      <c r="H86" s="32"/>
      <c r="I86" s="32"/>
      <c r="J86" s="32"/>
      <c r="K86" s="32"/>
      <c r="L86" s="32"/>
      <c r="M86" s="39"/>
    </row>
    <row r="87" spans="1:13" ht="14.25">
      <c r="A87" s="27"/>
      <c r="M87" s="27"/>
    </row>
    <row r="88" spans="1:13" ht="13.5">
      <c r="A88" s="119" t="s">
        <v>31</v>
      </c>
      <c r="B88" s="32" t="s">
        <v>375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9"/>
    </row>
    <row r="89" spans="1:13" ht="14.25">
      <c r="A89" s="11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40"/>
    </row>
    <row r="90" spans="1:13" ht="21" customHeight="1">
      <c r="A90" s="119"/>
      <c r="B90" s="2" t="s">
        <v>103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40"/>
    </row>
    <row r="91" spans="1:13" ht="14.25">
      <c r="A91" s="11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40"/>
    </row>
    <row r="92" spans="1:13" ht="15" thickBot="1">
      <c r="A92" s="119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40"/>
    </row>
    <row r="93" spans="1:13" ht="15.75">
      <c r="A93" s="119"/>
      <c r="B93" s="74" t="s">
        <v>102</v>
      </c>
      <c r="C93" s="1">
        <v>0.1</v>
      </c>
      <c r="D93" s="2"/>
      <c r="E93" s="7" t="s">
        <v>165</v>
      </c>
      <c r="F93" s="3" t="s">
        <v>170</v>
      </c>
      <c r="G93" s="75">
        <f>-NORMSINV(0.05)</f>
        <v>1.6448534756699833</v>
      </c>
      <c r="H93" s="2"/>
      <c r="I93" s="2"/>
      <c r="J93" s="80" t="s">
        <v>167</v>
      </c>
      <c r="K93" s="91">
        <f>+D69-G93*SQRT(D69*(1-D69)/150)</f>
        <v>0.06520920395617535</v>
      </c>
      <c r="L93" s="2"/>
      <c r="M93" s="40"/>
    </row>
    <row r="94" spans="1:13" ht="15" thickBot="1">
      <c r="A94" s="27"/>
      <c r="F94" s="132"/>
      <c r="J94" s="82" t="s">
        <v>115</v>
      </c>
      <c r="K94" s="92">
        <f>+D69+G93*SQRT(D69*(1-D69)/150)</f>
        <v>0.148124129377158</v>
      </c>
      <c r="M94" s="27"/>
    </row>
    <row r="95" spans="1:13" ht="13.5">
      <c r="A95" s="27"/>
      <c r="M95" s="27"/>
    </row>
    <row r="96" spans="1:13" ht="13.5">
      <c r="A96" s="11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40"/>
    </row>
    <row r="97" spans="1:13" ht="15">
      <c r="A97" s="118" t="s">
        <v>83</v>
      </c>
      <c r="M97" s="27"/>
    </row>
    <row r="98" spans="1:13" ht="14.25" thickBot="1">
      <c r="A98" s="119"/>
      <c r="M98" s="27"/>
    </row>
    <row r="99" spans="1:13" ht="13.5">
      <c r="A99" s="145"/>
      <c r="B99" s="308"/>
      <c r="C99" s="379" t="s">
        <v>267</v>
      </c>
      <c r="D99" s="376" t="s">
        <v>266</v>
      </c>
      <c r="E99" s="377"/>
      <c r="F99" s="378"/>
      <c r="G99" s="381" t="s">
        <v>22</v>
      </c>
      <c r="I99" s="33"/>
      <c r="J99" s="33"/>
      <c r="K99" s="33"/>
      <c r="L99" s="33"/>
      <c r="M99" s="145"/>
    </row>
    <row r="100" spans="1:13" ht="14.25" thickBot="1">
      <c r="A100" s="145"/>
      <c r="B100" s="308"/>
      <c r="C100" s="380"/>
      <c r="D100" s="314" t="s">
        <v>265</v>
      </c>
      <c r="E100" s="315" t="s">
        <v>268</v>
      </c>
      <c r="F100" s="316" t="s">
        <v>269</v>
      </c>
      <c r="G100" s="382"/>
      <c r="I100" s="33"/>
      <c r="J100" s="33"/>
      <c r="K100" s="33"/>
      <c r="L100" s="33"/>
      <c r="M100" s="145"/>
    </row>
    <row r="101" spans="1:13" ht="13.5">
      <c r="A101" s="145"/>
      <c r="B101" s="308"/>
      <c r="C101" s="312" t="s">
        <v>46</v>
      </c>
      <c r="D101" s="303">
        <v>42</v>
      </c>
      <c r="E101" s="304">
        <v>35</v>
      </c>
      <c r="F101" s="305">
        <v>19</v>
      </c>
      <c r="G101" s="312">
        <v>96</v>
      </c>
      <c r="H101" s="2"/>
      <c r="I101" s="33"/>
      <c r="J101" s="33"/>
      <c r="K101" s="33"/>
      <c r="L101" s="33"/>
      <c r="M101" s="145"/>
    </row>
    <row r="102" spans="1:13" ht="14.25" thickBot="1">
      <c r="A102" s="145"/>
      <c r="B102" s="308"/>
      <c r="C102" s="313" t="s">
        <v>47</v>
      </c>
      <c r="D102" s="298">
        <v>55</v>
      </c>
      <c r="E102" s="306">
        <v>31</v>
      </c>
      <c r="F102" s="307">
        <v>18</v>
      </c>
      <c r="G102" s="313">
        <v>104</v>
      </c>
      <c r="I102" s="33"/>
      <c r="J102" s="33"/>
      <c r="K102" s="33"/>
      <c r="L102" s="33"/>
      <c r="M102" s="145"/>
    </row>
    <row r="103" spans="1:13" ht="14.25" thickBot="1">
      <c r="A103" s="145"/>
      <c r="B103" s="309"/>
      <c r="C103" s="313" t="s">
        <v>22</v>
      </c>
      <c r="D103" s="314">
        <v>97</v>
      </c>
      <c r="E103" s="314">
        <v>66</v>
      </c>
      <c r="F103" s="314">
        <v>37</v>
      </c>
      <c r="G103" s="313">
        <v>200</v>
      </c>
      <c r="I103" s="33"/>
      <c r="J103" s="33"/>
      <c r="K103" s="33"/>
      <c r="L103" s="33"/>
      <c r="M103" s="145"/>
    </row>
    <row r="104" spans="1:13" ht="13.5">
      <c r="A104" s="27"/>
      <c r="M104" s="27"/>
    </row>
    <row r="105" spans="1:13" ht="13.5">
      <c r="A105" s="119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9"/>
    </row>
    <row r="106" spans="1:13" ht="13.5">
      <c r="A106" s="119" t="s">
        <v>26</v>
      </c>
      <c r="B106" s="32" t="s">
        <v>376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40"/>
    </row>
    <row r="107" spans="1:13" ht="13.5">
      <c r="A107" s="161"/>
      <c r="B107" s="32" t="s">
        <v>288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163"/>
    </row>
    <row r="108" spans="1:13" ht="13.5">
      <c r="A108" s="16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163"/>
    </row>
    <row r="109" spans="1:13" ht="13.5">
      <c r="A109" s="161"/>
      <c r="B109" s="72" t="s">
        <v>386</v>
      </c>
      <c r="C109" s="32">
        <f>(2.5*D101+12.5*E101+35*F101)/G101</f>
        <v>12.578125</v>
      </c>
      <c r="D109" s="72" t="s">
        <v>388</v>
      </c>
      <c r="E109" s="32">
        <f>((2.5-C109)^2*D101+(12.5-C109)^2*E101+(35-C109)^2*F101)/G101</f>
        <v>143.939208984375</v>
      </c>
      <c r="F109" s="32"/>
      <c r="G109" s="32"/>
      <c r="H109" s="32"/>
      <c r="I109" s="32"/>
      <c r="J109" s="32"/>
      <c r="K109" s="32"/>
      <c r="L109" s="32"/>
      <c r="M109" s="163"/>
    </row>
    <row r="110" spans="1:13" ht="13.5">
      <c r="A110" s="330"/>
      <c r="B110" s="72" t="s">
        <v>387</v>
      </c>
      <c r="C110" s="10">
        <f>(2.5*D102+12.5*E102+35*F102)/G102</f>
        <v>11.10576923076923</v>
      </c>
      <c r="D110" s="72" t="s">
        <v>389</v>
      </c>
      <c r="E110" s="10">
        <f>((2.5-C110)^2*D102+(12.5-C110)^2*E102+(35-C110)^2*F102)/G102</f>
        <v>138.56092825443784</v>
      </c>
      <c r="M110" s="40"/>
    </row>
    <row r="111" spans="1:13" ht="13.5">
      <c r="A111" s="330"/>
      <c r="M111" s="40"/>
    </row>
    <row r="112" spans="1:13" ht="14.25">
      <c r="A112" s="330"/>
      <c r="B112" s="216"/>
      <c r="C112" s="216"/>
      <c r="D112" s="216"/>
      <c r="E112" s="216"/>
      <c r="F112" s="216"/>
      <c r="G112" s="216"/>
      <c r="H112" s="254"/>
      <c r="I112" s="254"/>
      <c r="J112" s="216"/>
      <c r="K112" s="216"/>
      <c r="M112" s="40"/>
    </row>
    <row r="113" spans="1:13" ht="14.25">
      <c r="A113" s="330"/>
      <c r="B113" s="375" t="s">
        <v>4</v>
      </c>
      <c r="C113" s="351"/>
      <c r="D113" s="351"/>
      <c r="E113" s="216"/>
      <c r="F113" s="216"/>
      <c r="G113" s="216"/>
      <c r="H113" s="254"/>
      <c r="M113" s="40"/>
    </row>
    <row r="114" spans="1:13" ht="14.25">
      <c r="A114" s="330"/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M114" s="27"/>
    </row>
    <row r="115" spans="1:13" ht="18.75">
      <c r="A115" s="330"/>
      <c r="J115" s="7" t="s">
        <v>165</v>
      </c>
      <c r="K115" s="3" t="s">
        <v>6</v>
      </c>
      <c r="L115" s="12">
        <f>-NORMSINV(0.025)</f>
        <v>1.959962787408407</v>
      </c>
      <c r="M115" s="27"/>
    </row>
    <row r="116" spans="1:13" ht="14.25">
      <c r="A116" s="330"/>
      <c r="M116" s="40"/>
    </row>
    <row r="117" spans="1:13" ht="14.25">
      <c r="A117" s="330"/>
      <c r="M117" s="27"/>
    </row>
    <row r="118" spans="1:13" ht="14.25">
      <c r="A118" s="330"/>
      <c r="M118" s="27"/>
    </row>
    <row r="119" spans="1:13" ht="13.5">
      <c r="A119" s="331"/>
      <c r="M119" s="145"/>
    </row>
    <row r="120" spans="1:13" ht="13.5">
      <c r="A120" s="331"/>
      <c r="C120" s="10" t="s">
        <v>289</v>
      </c>
      <c r="M120" s="145"/>
    </row>
    <row r="121" spans="1:13" ht="14.25" thickBot="1">
      <c r="A121" s="331"/>
      <c r="M121" s="145"/>
    </row>
    <row r="122" spans="1:13" ht="15" thickBot="1">
      <c r="A122" s="331"/>
      <c r="E122" s="317" t="s">
        <v>390</v>
      </c>
      <c r="F122" s="85"/>
      <c r="G122" s="87"/>
      <c r="M122" s="145"/>
    </row>
    <row r="123" spans="1:13" ht="13.5">
      <c r="A123" s="332"/>
      <c r="M123" s="163"/>
    </row>
    <row r="124" spans="1:13" ht="13.5">
      <c r="A124" s="330"/>
      <c r="C124" s="10" t="s">
        <v>290</v>
      </c>
      <c r="M124" s="40"/>
    </row>
    <row r="125" spans="1:13" ht="14.25" thickBot="1">
      <c r="A125" s="330"/>
      <c r="M125" s="40"/>
    </row>
    <row r="126" spans="1:13" ht="17.25" customHeight="1" thickBot="1">
      <c r="A126" s="330"/>
      <c r="E126" s="317" t="s">
        <v>391</v>
      </c>
      <c r="F126" s="85"/>
      <c r="G126" s="87"/>
      <c r="M126" s="40"/>
    </row>
    <row r="127" spans="1:13" ht="13.5">
      <c r="A127" s="330"/>
      <c r="M127" s="27"/>
    </row>
    <row r="128" spans="1:13" ht="13.5">
      <c r="A128" s="119" t="s">
        <v>27</v>
      </c>
      <c r="B128" s="32" t="s">
        <v>377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40"/>
    </row>
    <row r="129" spans="1:13" ht="13.5">
      <c r="A129" s="330"/>
      <c r="B129" s="32" t="s">
        <v>291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27"/>
    </row>
    <row r="130" spans="1:13" ht="15">
      <c r="A130" s="330"/>
      <c r="B130" s="2"/>
      <c r="C130" s="7" t="s">
        <v>292</v>
      </c>
      <c r="D130" s="2"/>
      <c r="E130" s="73" t="s">
        <v>293</v>
      </c>
      <c r="F130" s="1">
        <v>12.5</v>
      </c>
      <c r="H130" s="74" t="s">
        <v>102</v>
      </c>
      <c r="I130" s="1">
        <v>0.1</v>
      </c>
      <c r="J130" s="2"/>
      <c r="K130" s="2"/>
      <c r="L130" s="2"/>
      <c r="M130" s="27"/>
    </row>
    <row r="131" spans="1:13" ht="15">
      <c r="A131" s="331"/>
      <c r="B131" s="2"/>
      <c r="C131" s="7" t="s">
        <v>355</v>
      </c>
      <c r="D131" s="2"/>
      <c r="E131" s="2"/>
      <c r="F131" s="2"/>
      <c r="G131" s="2"/>
      <c r="H131" s="2"/>
      <c r="I131" s="2"/>
      <c r="J131" s="2"/>
      <c r="K131" s="2"/>
      <c r="L131" s="2"/>
      <c r="M131" s="145"/>
    </row>
    <row r="132" spans="1:13" ht="14.25">
      <c r="A132" s="33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45"/>
    </row>
    <row r="133" spans="1:13" ht="14.25">
      <c r="A133" s="331"/>
      <c r="B133" s="33" t="s">
        <v>97</v>
      </c>
      <c r="C133" s="138"/>
      <c r="D133" s="138"/>
      <c r="E133" s="138"/>
      <c r="F133" s="319">
        <f>(C109-12.5)/SQRT(E109/G101)</f>
        <v>0.06380226418314888</v>
      </c>
      <c r="G133" s="138"/>
      <c r="H133" s="75"/>
      <c r="I133" s="138"/>
      <c r="J133" s="138"/>
      <c r="K133" s="138"/>
      <c r="L133" s="138"/>
      <c r="M133" s="145"/>
    </row>
    <row r="134" spans="1:13" ht="14.25">
      <c r="A134" s="33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45"/>
    </row>
    <row r="135" spans="1:13" ht="14.25">
      <c r="A135" s="331"/>
      <c r="B135" s="2"/>
      <c r="C135" s="2"/>
      <c r="D135" s="2"/>
      <c r="F135" s="2"/>
      <c r="G135" s="2"/>
      <c r="H135" s="2"/>
      <c r="I135" s="2"/>
      <c r="J135" s="2"/>
      <c r="K135" s="2"/>
      <c r="L135" s="2"/>
      <c r="M135" s="145"/>
    </row>
    <row r="136" spans="1:13" ht="17.25">
      <c r="A136" s="330"/>
      <c r="B136" s="32" t="s">
        <v>287</v>
      </c>
      <c r="C136" s="32"/>
      <c r="D136" s="32"/>
      <c r="E136" s="32"/>
      <c r="F136" s="32"/>
      <c r="G136" s="32"/>
      <c r="H136" s="72" t="s">
        <v>173</v>
      </c>
      <c r="I136" s="131" t="s">
        <v>135</v>
      </c>
      <c r="J136" s="136">
        <f>-NORMSINV(I130)</f>
        <v>1.2815519393373522</v>
      </c>
      <c r="K136" s="32"/>
      <c r="L136" s="32"/>
      <c r="M136" s="27"/>
    </row>
    <row r="137" spans="1:13" ht="15" thickBot="1">
      <c r="A137" s="33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9"/>
    </row>
    <row r="138" spans="1:13" ht="16.5" thickBot="1">
      <c r="A138" s="330"/>
      <c r="B138" s="2" t="s">
        <v>392</v>
      </c>
      <c r="C138" s="2"/>
      <c r="D138" s="2"/>
      <c r="E138" s="2"/>
      <c r="F138" s="2"/>
      <c r="G138" s="84" t="s">
        <v>203</v>
      </c>
      <c r="H138" s="85"/>
      <c r="I138" s="87"/>
      <c r="K138" s="2"/>
      <c r="L138" s="2"/>
      <c r="M138" s="39"/>
    </row>
    <row r="139" spans="1:13" ht="13.5">
      <c r="A139" s="33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40"/>
    </row>
    <row r="140" spans="1:13" ht="13.5">
      <c r="A140" s="119" t="s">
        <v>31</v>
      </c>
      <c r="B140" s="32" t="s">
        <v>374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27"/>
    </row>
    <row r="141" spans="1:13" ht="14.25">
      <c r="A141" s="330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27"/>
    </row>
    <row r="142" spans="1:13" ht="15.75" thickBot="1">
      <c r="A142" s="331"/>
      <c r="B142" s="32"/>
      <c r="C142" s="32"/>
      <c r="D142" s="301"/>
      <c r="E142" s="32"/>
      <c r="F142" s="32"/>
      <c r="G142" s="32"/>
      <c r="H142" s="32"/>
      <c r="I142" s="32"/>
      <c r="J142" s="32"/>
      <c r="K142" s="32"/>
      <c r="L142" s="32"/>
      <c r="M142" s="145"/>
    </row>
    <row r="143" spans="1:13" ht="15.75" thickBot="1">
      <c r="A143" s="331"/>
      <c r="B143" s="32"/>
      <c r="C143" s="32"/>
      <c r="D143" s="301"/>
      <c r="E143" s="32"/>
      <c r="F143" s="32"/>
      <c r="G143" s="72" t="s">
        <v>33</v>
      </c>
      <c r="H143" s="320">
        <f>NORMSDIST(F133)</f>
        <v>0.5254362325192884</v>
      </c>
      <c r="I143" s="32"/>
      <c r="J143" s="32"/>
      <c r="K143" s="32"/>
      <c r="L143" s="32"/>
      <c r="M143" s="145"/>
    </row>
    <row r="144" spans="1:13" ht="15">
      <c r="A144" s="331"/>
      <c r="B144" s="32"/>
      <c r="C144" s="32"/>
      <c r="D144" s="301"/>
      <c r="E144" s="32"/>
      <c r="F144" s="32"/>
      <c r="G144" s="32"/>
      <c r="H144" s="32"/>
      <c r="I144" s="32"/>
      <c r="J144" s="32"/>
      <c r="K144" s="32"/>
      <c r="L144" s="32"/>
      <c r="M144" s="145"/>
    </row>
    <row r="145" spans="1:13" ht="14.25">
      <c r="A145" s="331"/>
      <c r="M145" s="145"/>
    </row>
    <row r="146" spans="1:13" ht="13.5">
      <c r="A146" s="119" t="s">
        <v>58</v>
      </c>
      <c r="B146" s="32" t="s">
        <v>378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 t="s">
        <v>294</v>
      </c>
      <c r="M146" s="27"/>
    </row>
    <row r="147" spans="1:13" ht="18">
      <c r="A147" s="39"/>
      <c r="C147" s="10" t="s">
        <v>295</v>
      </c>
      <c r="M147" s="39"/>
    </row>
    <row r="148" spans="1:13" ht="14.25">
      <c r="A148" s="40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40"/>
    </row>
    <row r="149" spans="1:13" ht="14.25">
      <c r="A149" s="40"/>
      <c r="B149" s="32"/>
      <c r="C149" s="32"/>
      <c r="D149" s="1">
        <f>163/200</f>
        <v>0.815</v>
      </c>
      <c r="E149" s="32"/>
      <c r="F149" s="32"/>
      <c r="G149" s="32"/>
      <c r="H149" s="32"/>
      <c r="I149" s="32"/>
      <c r="J149" s="32"/>
      <c r="K149" s="32"/>
      <c r="L149" s="32"/>
      <c r="M149" s="40"/>
    </row>
    <row r="150" spans="1:13" ht="14.25">
      <c r="A150" s="27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27"/>
    </row>
    <row r="151" spans="1:13" ht="13.5">
      <c r="A151" s="2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7"/>
    </row>
    <row r="152" spans="1:13" ht="15">
      <c r="A152" s="145"/>
      <c r="B152" s="2"/>
      <c r="C152" s="7" t="s">
        <v>171</v>
      </c>
      <c r="D152" s="2"/>
      <c r="E152" s="73" t="s">
        <v>172</v>
      </c>
      <c r="F152" s="1">
        <v>0.85</v>
      </c>
      <c r="H152" s="74" t="s">
        <v>102</v>
      </c>
      <c r="I152" s="1">
        <v>0.01</v>
      </c>
      <c r="J152" s="2"/>
      <c r="K152" s="2"/>
      <c r="L152" s="2"/>
      <c r="M152" s="145"/>
    </row>
    <row r="153" spans="1:13" ht="15">
      <c r="A153" s="145"/>
      <c r="B153" s="2"/>
      <c r="C153" s="7" t="s">
        <v>251</v>
      </c>
      <c r="D153" s="2"/>
      <c r="E153" s="2"/>
      <c r="F153" s="2"/>
      <c r="G153" s="2"/>
      <c r="H153" s="2"/>
      <c r="I153" s="2"/>
      <c r="J153" s="2"/>
      <c r="K153" s="2"/>
      <c r="L153" s="2"/>
      <c r="M153" s="145"/>
    </row>
    <row r="154" spans="1:13" ht="14.25">
      <c r="A154" s="14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45"/>
    </row>
    <row r="155" spans="1:13" ht="14.25">
      <c r="A155" s="145"/>
      <c r="B155" s="33" t="s">
        <v>97</v>
      </c>
      <c r="C155" s="138"/>
      <c r="D155" s="138"/>
      <c r="E155" s="138"/>
      <c r="F155" s="256">
        <f>+(D149-F152)/SQRT(F152*(1-F152)/200)</f>
        <v>-1.3862065601673452</v>
      </c>
      <c r="G155" s="138"/>
      <c r="H155" s="75"/>
      <c r="I155" s="138"/>
      <c r="J155" s="138"/>
      <c r="K155" s="138"/>
      <c r="L155" s="138"/>
      <c r="M155" s="145"/>
    </row>
    <row r="156" spans="1:13" ht="14.25">
      <c r="A156" s="2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7"/>
    </row>
    <row r="157" spans="1:13" ht="13.5">
      <c r="A157" s="39"/>
      <c r="B157" s="2"/>
      <c r="C157" s="2"/>
      <c r="D157" s="2"/>
      <c r="F157" s="2"/>
      <c r="G157" s="2"/>
      <c r="H157" s="2"/>
      <c r="I157" s="2"/>
      <c r="J157" s="2"/>
      <c r="K157" s="2"/>
      <c r="L157" s="2"/>
      <c r="M157" s="39"/>
    </row>
    <row r="158" spans="1:13" ht="17.25">
      <c r="A158" s="39"/>
      <c r="B158" s="32" t="s">
        <v>287</v>
      </c>
      <c r="C158" s="32"/>
      <c r="D158" s="32"/>
      <c r="E158" s="32"/>
      <c r="F158" s="32"/>
      <c r="G158" s="32"/>
      <c r="H158" s="72" t="s">
        <v>173</v>
      </c>
      <c r="I158" s="131" t="s">
        <v>135</v>
      </c>
      <c r="J158" s="136">
        <f>-NORMSINV(I152)</f>
        <v>2.3263469999324347</v>
      </c>
      <c r="K158" s="32"/>
      <c r="L158" s="32"/>
      <c r="M158" s="39"/>
    </row>
    <row r="159" spans="1:13" ht="15" thickBot="1">
      <c r="A159" s="4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40"/>
    </row>
    <row r="160" spans="1:13" ht="16.5" thickBot="1">
      <c r="A160" s="40"/>
      <c r="B160" s="2" t="s">
        <v>296</v>
      </c>
      <c r="C160" s="2"/>
      <c r="D160" s="2"/>
      <c r="E160" s="2"/>
      <c r="F160" s="2"/>
      <c r="G160" s="370" t="s">
        <v>203</v>
      </c>
      <c r="H160" s="336"/>
      <c r="I160" s="371"/>
      <c r="K160" s="2"/>
      <c r="L160" s="2"/>
      <c r="M160" s="40"/>
    </row>
    <row r="161" spans="1:13" ht="13.5">
      <c r="A161" s="27"/>
      <c r="M161" s="27"/>
    </row>
    <row r="162" spans="1:13" ht="13.5">
      <c r="A162" s="145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145"/>
    </row>
    <row r="163" ht="13.5">
      <c r="A163" s="10"/>
    </row>
    <row r="164" ht="13.5">
      <c r="A164" s="10"/>
    </row>
    <row r="165" ht="13.5">
      <c r="A165" s="10"/>
    </row>
    <row r="166" ht="13.5">
      <c r="A166" s="10"/>
    </row>
    <row r="167" ht="13.5">
      <c r="A167" s="10"/>
    </row>
    <row r="168" ht="13.5">
      <c r="A168" s="10"/>
    </row>
    <row r="169" ht="13.5">
      <c r="A169" s="10"/>
    </row>
  </sheetData>
  <sheetProtection/>
  <mergeCells count="22">
    <mergeCell ref="G160:I160"/>
    <mergeCell ref="B113:D113"/>
    <mergeCell ref="B6:L6"/>
    <mergeCell ref="B13:L13"/>
    <mergeCell ref="C21:C22"/>
    <mergeCell ref="D99:F99"/>
    <mergeCell ref="C99:C100"/>
    <mergeCell ref="G99:G100"/>
    <mergeCell ref="A36:M36"/>
    <mergeCell ref="B42:L42"/>
    <mergeCell ref="B8:L8"/>
    <mergeCell ref="B9:L9"/>
    <mergeCell ref="B11:L11"/>
    <mergeCell ref="B12:L12"/>
    <mergeCell ref="A1:M1"/>
    <mergeCell ref="B3:L3"/>
    <mergeCell ref="B4:L4"/>
    <mergeCell ref="B5:L5"/>
    <mergeCell ref="D21:F21"/>
    <mergeCell ref="G21:G22"/>
    <mergeCell ref="B46:L46"/>
    <mergeCell ref="B54:L54"/>
  </mergeCells>
  <printOptions horizontalCentered="1"/>
  <pageMargins left="0.27" right="0.27" top="0.7480314960629921" bottom="0.6692913385826772" header="0.5118110236220472" footer="0.5118110236220472"/>
  <pageSetup fitToHeight="4" horizontalDpi="600" verticalDpi="600" orientation="portrait" paperSize="9" scale="67" r:id="rId22"/>
  <rowBreaks count="2" manualBreakCount="2">
    <brk id="35" max="12" man="1"/>
    <brk id="96" max="12" man="1"/>
  </rowBreaks>
  <drawing r:id="rId21"/>
  <legacyDrawing r:id="rId20"/>
  <oleObjects>
    <oleObject progId="Equation.3" shapeId="73855" r:id="rId1"/>
    <oleObject progId="Equation.3" shapeId="73856" r:id="rId2"/>
    <oleObject progId="Equation.3" shapeId="464763" r:id="rId3"/>
    <oleObject progId="Equation.3" shapeId="530036" r:id="rId4"/>
    <oleObject progId="Equation.3" shapeId="586063" r:id="rId5"/>
    <oleObject progId="Equation.3" shapeId="684888" r:id="rId6"/>
    <oleObject progId="Equation.3" shapeId="690149" r:id="rId7"/>
    <oleObject progId="Equation.3" shapeId="692777" r:id="rId8"/>
    <oleObject progId="Equation.3" shapeId="694085" r:id="rId9"/>
    <oleObject progId="Equation.3" shapeId="1164386" r:id="rId10"/>
    <oleObject progId="Equation.3" shapeId="1213372" r:id="rId11"/>
    <oleObject progId="Equation.3" shapeId="1213374" r:id="rId12"/>
    <oleObject progId="Equation.3" shapeId="154774" r:id="rId13"/>
    <oleObject progId="Equation.3" shapeId="168246" r:id="rId14"/>
    <oleObject progId="Equation.3" shapeId="199449" r:id="rId15"/>
    <oleObject progId="Equation.3" shapeId="228796" r:id="rId16"/>
    <oleObject progId="Equation.3" shapeId="259689" r:id="rId17"/>
    <oleObject progId="Equation.3" shapeId="300825" r:id="rId18"/>
    <oleObject progId="Equation.3" shapeId="4360431" r:id="rId19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N140"/>
  <sheetViews>
    <sheetView zoomScale="88" zoomScaleNormal="88" zoomScalePageLayoutView="0" workbookViewId="0" topLeftCell="A1">
      <selection activeCell="L121" sqref="L12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16.28125" style="0" customWidth="1"/>
    <col min="8" max="8" width="10.57421875" style="0" bestFit="1" customWidth="1"/>
    <col min="13" max="13" width="9.8515625" style="0" customWidth="1"/>
    <col min="14" max="14" width="4.7109375" style="0" customWidth="1"/>
  </cols>
  <sheetData>
    <row r="1" spans="1:14" ht="20.25">
      <c r="A1" s="341" t="s">
        <v>335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1:14" ht="13.5">
      <c r="A2" s="4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5"/>
    </row>
    <row r="3" spans="1:14" ht="13.5">
      <c r="A3" s="47"/>
      <c r="B3" s="358" t="s">
        <v>297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10"/>
      <c r="N3" s="15"/>
    </row>
    <row r="4" spans="1:14" ht="13.5">
      <c r="A4" s="47"/>
      <c r="B4" s="351" t="s">
        <v>298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10"/>
      <c r="N4" s="15"/>
    </row>
    <row r="5" spans="1:14" ht="13.5">
      <c r="A5" s="47"/>
      <c r="B5" s="358" t="s">
        <v>304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10"/>
      <c r="N5" s="15"/>
    </row>
    <row r="6" spans="1:14" ht="13.5">
      <c r="A6" s="47"/>
      <c r="B6" s="358" t="s">
        <v>305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10"/>
      <c r="N6" s="15"/>
    </row>
    <row r="7" spans="1:14" ht="13.5">
      <c r="A7" s="4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0"/>
      <c r="N7" s="15"/>
    </row>
    <row r="8" spans="1:14" ht="13.5">
      <c r="A8" s="4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5"/>
    </row>
    <row r="9" spans="1:14" ht="13.5">
      <c r="A9" s="47"/>
      <c r="B9" s="383" t="s">
        <v>299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10"/>
      <c r="N9" s="15"/>
    </row>
    <row r="10" spans="1:14" ht="13.5">
      <c r="A10" s="47"/>
      <c r="B10" s="384" t="s">
        <v>300</v>
      </c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10"/>
      <c r="N10" s="15"/>
    </row>
    <row r="11" spans="1:14" ht="13.5">
      <c r="A11" s="47"/>
      <c r="B11" s="351" t="s">
        <v>301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10"/>
      <c r="N11" s="15"/>
    </row>
    <row r="12" spans="1:14" ht="13.5">
      <c r="A12" s="47"/>
      <c r="B12" s="2" t="s">
        <v>302</v>
      </c>
      <c r="C12" s="1"/>
      <c r="D12" s="1"/>
      <c r="E12" s="1"/>
      <c r="F12" s="1"/>
      <c r="G12" s="1"/>
      <c r="H12" s="1"/>
      <c r="I12" s="1"/>
      <c r="J12" s="1"/>
      <c r="K12" s="1"/>
      <c r="L12" s="1"/>
      <c r="N12" s="15"/>
    </row>
    <row r="13" spans="1:14" ht="13.5">
      <c r="A13" s="47"/>
      <c r="B13" s="2"/>
      <c r="C13" s="1"/>
      <c r="D13" s="1"/>
      <c r="E13" s="1"/>
      <c r="F13" s="1"/>
      <c r="G13" s="1"/>
      <c r="H13" s="1"/>
      <c r="I13" s="1"/>
      <c r="J13" s="1"/>
      <c r="K13" s="10"/>
      <c r="L13" s="1"/>
      <c r="M13" s="10"/>
      <c r="N13" s="15"/>
    </row>
    <row r="14" spans="1:14" ht="13.5">
      <c r="A14" s="47"/>
      <c r="B14" s="32" t="s">
        <v>303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5"/>
    </row>
    <row r="15" spans="1:14" ht="14.25">
      <c r="A15" s="47"/>
      <c r="B15" s="32" t="s">
        <v>315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5"/>
    </row>
    <row r="16" spans="1:14" ht="13.5">
      <c r="A16" s="47"/>
      <c r="B16" s="32" t="s">
        <v>314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5"/>
    </row>
    <row r="17" spans="1:14" ht="13.5">
      <c r="A17" s="47"/>
      <c r="B17" s="32" t="s">
        <v>261</v>
      </c>
      <c r="C17" s="32" t="s">
        <v>316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5"/>
    </row>
    <row r="18" spans="1:14" ht="14.25">
      <c r="A18" s="47"/>
      <c r="B18" s="34" t="s">
        <v>318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5"/>
    </row>
    <row r="19" spans="1:14" ht="13.5">
      <c r="A19" s="47"/>
      <c r="B19" s="34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5"/>
    </row>
    <row r="20" spans="1:14" ht="13.5">
      <c r="A20" s="4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5"/>
    </row>
    <row r="21" spans="1:14" ht="13.5">
      <c r="A21" s="47"/>
      <c r="B21" s="34" t="s">
        <v>306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7"/>
    </row>
    <row r="22" spans="1:14" ht="14.25" thickBot="1">
      <c r="A22" s="47"/>
      <c r="B22" s="32" t="s">
        <v>307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5"/>
    </row>
    <row r="23" spans="1:14" ht="13.5">
      <c r="A23" s="47"/>
      <c r="B23" s="2"/>
      <c r="C23" s="337"/>
      <c r="D23" s="339" t="s">
        <v>308</v>
      </c>
      <c r="E23" s="340"/>
      <c r="F23" s="333"/>
      <c r="G23" s="337" t="s">
        <v>22</v>
      </c>
      <c r="H23" s="2"/>
      <c r="I23" s="2"/>
      <c r="J23" s="2"/>
      <c r="K23" s="2"/>
      <c r="L23" s="2"/>
      <c r="M23" s="2"/>
      <c r="N23" s="38"/>
    </row>
    <row r="24" spans="1:14" ht="14.25" thickBot="1">
      <c r="A24" s="47"/>
      <c r="B24" s="2"/>
      <c r="C24" s="338"/>
      <c r="D24" s="222" t="s">
        <v>311</v>
      </c>
      <c r="E24" s="223" t="s">
        <v>312</v>
      </c>
      <c r="F24" s="224" t="s">
        <v>313</v>
      </c>
      <c r="G24" s="338"/>
      <c r="H24" s="2"/>
      <c r="I24" s="2"/>
      <c r="J24" s="2"/>
      <c r="K24" s="2"/>
      <c r="L24" s="2"/>
      <c r="M24" s="2"/>
      <c r="N24" s="38"/>
    </row>
    <row r="25" spans="1:14" ht="13.5">
      <c r="A25" s="47"/>
      <c r="B25" s="2"/>
      <c r="C25" s="225" t="s">
        <v>309</v>
      </c>
      <c r="D25" s="226">
        <v>35</v>
      </c>
      <c r="E25" s="227">
        <v>45</v>
      </c>
      <c r="F25" s="228">
        <v>18</v>
      </c>
      <c r="G25" s="225">
        <v>98</v>
      </c>
      <c r="H25" s="2"/>
      <c r="I25" s="2"/>
      <c r="J25" s="2"/>
      <c r="K25" s="2"/>
      <c r="L25" s="2"/>
      <c r="M25" s="2"/>
      <c r="N25" s="38"/>
    </row>
    <row r="26" spans="1:14" ht="14.25" thickBot="1">
      <c r="A26" s="47"/>
      <c r="B26" s="2"/>
      <c r="C26" s="229" t="s">
        <v>310</v>
      </c>
      <c r="D26" s="230">
        <v>21</v>
      </c>
      <c r="E26" s="231">
        <v>20</v>
      </c>
      <c r="F26" s="232">
        <v>38</v>
      </c>
      <c r="G26" s="229">
        <v>79</v>
      </c>
      <c r="H26" s="2"/>
      <c r="I26" s="2"/>
      <c r="J26" s="2"/>
      <c r="K26" s="2"/>
      <c r="L26" s="2"/>
      <c r="M26" s="2"/>
      <c r="N26" s="38"/>
    </row>
    <row r="27" spans="1:14" ht="14.25" thickBot="1">
      <c r="A27" s="47"/>
      <c r="B27" s="10"/>
      <c r="C27" s="229" t="s">
        <v>22</v>
      </c>
      <c r="D27" s="222">
        <v>56</v>
      </c>
      <c r="E27" s="222">
        <v>65</v>
      </c>
      <c r="F27" s="222">
        <v>56</v>
      </c>
      <c r="G27" s="229">
        <v>177</v>
      </c>
      <c r="H27" s="10"/>
      <c r="I27" s="10"/>
      <c r="J27" s="10"/>
      <c r="K27" s="10"/>
      <c r="L27" s="10"/>
      <c r="M27" s="10"/>
      <c r="N27" s="15"/>
    </row>
    <row r="28" spans="1:14" ht="13.5">
      <c r="A28" s="47"/>
      <c r="B28" s="10"/>
      <c r="C28" s="297"/>
      <c r="D28" s="296"/>
      <c r="E28" s="296"/>
      <c r="F28" s="296"/>
      <c r="G28" s="10"/>
      <c r="H28" s="10"/>
      <c r="I28" s="10"/>
      <c r="J28" s="10"/>
      <c r="K28" s="10"/>
      <c r="L28" s="10"/>
      <c r="M28" s="10"/>
      <c r="N28" s="15"/>
    </row>
    <row r="29" spans="1:14" ht="13.5">
      <c r="A29" s="47"/>
      <c r="B29" s="32" t="s">
        <v>317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5"/>
    </row>
    <row r="30" spans="1:14" ht="14.25">
      <c r="A30" s="47"/>
      <c r="B30" s="32" t="s">
        <v>319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5"/>
    </row>
    <row r="31" spans="1:14" ht="14.25">
      <c r="A31" s="47"/>
      <c r="B31" s="32" t="s">
        <v>320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5"/>
    </row>
    <row r="32" spans="1:14" ht="13.5">
      <c r="A32" s="47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5"/>
    </row>
    <row r="33" spans="1:14" ht="13.5">
      <c r="A33" s="47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7.25">
      <c r="A34" s="347" t="s">
        <v>321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</row>
    <row r="35" spans="1:14" ht="13.5">
      <c r="A35" s="4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7"/>
    </row>
    <row r="36" spans="1:14" ht="15">
      <c r="A36" s="49" t="s">
        <v>81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7"/>
    </row>
    <row r="37" spans="1:14" ht="15">
      <c r="A37" s="4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7"/>
    </row>
    <row r="38" spans="1:14" ht="15">
      <c r="A38" s="4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27"/>
    </row>
    <row r="39" spans="1:14" ht="13.5">
      <c r="A39" s="50" t="s">
        <v>26</v>
      </c>
      <c r="B39" s="351" t="s">
        <v>384</v>
      </c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10"/>
      <c r="N39" s="27"/>
    </row>
    <row r="40" spans="1:14" ht="9" customHeight="1" thickBot="1">
      <c r="A40" s="50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0"/>
      <c r="N40" s="27"/>
    </row>
    <row r="41" spans="1:14" ht="13.5">
      <c r="A41" s="50"/>
      <c r="B41" s="2"/>
      <c r="D41" s="80" t="s">
        <v>325</v>
      </c>
      <c r="E41" s="311" t="s">
        <v>326</v>
      </c>
      <c r="F41" s="1"/>
      <c r="G41" s="1"/>
      <c r="H41" s="1"/>
      <c r="I41" s="1"/>
      <c r="J41" s="1"/>
      <c r="K41" s="1"/>
      <c r="L41" s="1"/>
      <c r="M41" s="10"/>
      <c r="N41" s="27"/>
    </row>
    <row r="42" spans="1:14" ht="14.25" thickBot="1">
      <c r="A42" s="50"/>
      <c r="B42" s="2"/>
      <c r="D42" s="82" t="s">
        <v>323</v>
      </c>
      <c r="E42" s="310" t="s">
        <v>324</v>
      </c>
      <c r="F42" s="1"/>
      <c r="G42" s="1"/>
      <c r="H42" s="1"/>
      <c r="I42" s="1"/>
      <c r="J42" s="1"/>
      <c r="K42" s="1"/>
      <c r="L42" s="1"/>
      <c r="M42" s="10"/>
      <c r="N42" s="27"/>
    </row>
    <row r="43" spans="1:14" ht="13.5">
      <c r="A43" s="48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7"/>
    </row>
    <row r="44" spans="1:14" ht="13.5">
      <c r="A44" s="50" t="s">
        <v>27</v>
      </c>
      <c r="B44" s="351" t="s">
        <v>385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10"/>
      <c r="N44" s="27"/>
    </row>
    <row r="45" spans="1:14" ht="14.25" thickBot="1">
      <c r="A45" s="48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0"/>
      <c r="N45" s="27"/>
    </row>
    <row r="46" spans="1:14" ht="14.25" thickBot="1">
      <c r="A46" s="48"/>
      <c r="B46" s="1"/>
      <c r="C46" s="302" t="s">
        <v>322</v>
      </c>
      <c r="D46" s="2"/>
      <c r="M46" s="1"/>
      <c r="N46" s="27"/>
    </row>
    <row r="47" spans="1:14" ht="10.5" customHeight="1">
      <c r="A47" s="48"/>
      <c r="B47" s="10"/>
      <c r="C47" s="10"/>
      <c r="D47" s="10"/>
      <c r="G47" s="1"/>
      <c r="H47" s="1"/>
      <c r="I47" s="1"/>
      <c r="J47" s="1"/>
      <c r="K47" s="1"/>
      <c r="L47" s="1"/>
      <c r="M47" s="10"/>
      <c r="N47" s="27"/>
    </row>
    <row r="48" spans="1:14" ht="13.5">
      <c r="A48" s="48"/>
      <c r="B48" s="2" t="s">
        <v>370</v>
      </c>
      <c r="C48" s="2"/>
      <c r="D48" s="2"/>
      <c r="M48" s="10"/>
      <c r="N48" s="27"/>
    </row>
    <row r="49" spans="1:14" ht="13.5">
      <c r="A49" s="48"/>
      <c r="B49" s="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27"/>
    </row>
    <row r="50" spans="1:14" ht="15">
      <c r="A50" s="118" t="s">
        <v>82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27"/>
    </row>
    <row r="51" spans="1:14" ht="15">
      <c r="A51" s="118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7"/>
    </row>
    <row r="52" spans="1:14" ht="15.75">
      <c r="A52" s="118"/>
      <c r="B52" s="10"/>
      <c r="C52" s="7" t="s">
        <v>156</v>
      </c>
      <c r="D52" s="1">
        <v>250</v>
      </c>
      <c r="E52" s="10"/>
      <c r="F52" s="7" t="s">
        <v>157</v>
      </c>
      <c r="G52" s="1">
        <v>15.7</v>
      </c>
      <c r="H52" s="10"/>
      <c r="I52" s="7" t="s">
        <v>158</v>
      </c>
      <c r="J52" s="1">
        <v>9.32</v>
      </c>
      <c r="K52" s="10"/>
      <c r="L52" s="10"/>
      <c r="M52" s="10"/>
      <c r="N52" s="27"/>
    </row>
    <row r="53" spans="1:14" ht="13.5" customHeight="1">
      <c r="A53" s="118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7"/>
    </row>
    <row r="54" spans="1:14" ht="13.5">
      <c r="A54" s="119" t="s">
        <v>26</v>
      </c>
      <c r="B54" s="32" t="s">
        <v>379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9"/>
    </row>
    <row r="55" spans="1:14" ht="13.5">
      <c r="A55" s="11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40"/>
    </row>
    <row r="56" spans="1:14" ht="14.25">
      <c r="A56" s="119"/>
      <c r="B56" s="2" t="s">
        <v>159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40"/>
    </row>
    <row r="57" spans="1:14" ht="14.25">
      <c r="A57" s="11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40"/>
    </row>
    <row r="58" spans="1:14" ht="14.25">
      <c r="A58" s="11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40"/>
    </row>
    <row r="59" spans="1:14" ht="13.5">
      <c r="A59" s="11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40"/>
    </row>
    <row r="60" spans="1:14" ht="15.75">
      <c r="A60" s="119"/>
      <c r="B60" s="2" t="s">
        <v>327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40"/>
    </row>
    <row r="61" spans="1:14" ht="14.25" thickBot="1">
      <c r="A61" s="11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40"/>
    </row>
    <row r="62" spans="1:14" ht="15.75">
      <c r="A62" s="119"/>
      <c r="B62" s="74" t="s">
        <v>102</v>
      </c>
      <c r="C62" s="1">
        <v>0.05</v>
      </c>
      <c r="D62" s="2"/>
      <c r="E62" s="7" t="s">
        <v>165</v>
      </c>
      <c r="F62" s="3" t="s">
        <v>6</v>
      </c>
      <c r="G62" s="12">
        <f>-NORMSINV(0.025)</f>
        <v>1.959962787408407</v>
      </c>
      <c r="H62" s="2"/>
      <c r="I62" s="80" t="s">
        <v>167</v>
      </c>
      <c r="J62" s="81">
        <f>+G52-G62*SQRT(J52/D52)</f>
        <v>15.321569808428556</v>
      </c>
      <c r="K62" s="2"/>
      <c r="L62" s="2"/>
      <c r="M62" s="2"/>
      <c r="N62" s="40"/>
    </row>
    <row r="63" spans="1:14" ht="15" thickBot="1">
      <c r="A63" s="119"/>
      <c r="B63" s="32"/>
      <c r="C63" s="32"/>
      <c r="D63" s="2"/>
      <c r="E63" s="2"/>
      <c r="F63" s="2"/>
      <c r="G63" s="2"/>
      <c r="H63" s="2"/>
      <c r="I63" s="82" t="s">
        <v>115</v>
      </c>
      <c r="J63" s="83">
        <f>+G52+G62*SQRT(J52/D52)</f>
        <v>16.078430191571442</v>
      </c>
      <c r="K63" s="2"/>
      <c r="L63" s="2"/>
      <c r="M63" s="2"/>
      <c r="N63" s="40"/>
    </row>
    <row r="64" spans="1:14" ht="13.5">
      <c r="A64" s="11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0"/>
    </row>
    <row r="65" spans="1:14" ht="14.25">
      <c r="A65" s="119" t="s">
        <v>27</v>
      </c>
      <c r="B65" s="32" t="s">
        <v>380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9"/>
    </row>
    <row r="66" spans="1:14" ht="13.5">
      <c r="A66" s="119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9"/>
    </row>
    <row r="67" spans="1:14" ht="15">
      <c r="A67" s="48"/>
      <c r="B67" s="8"/>
      <c r="C67" s="7" t="s">
        <v>116</v>
      </c>
      <c r="D67" s="74" t="s">
        <v>118</v>
      </c>
      <c r="E67" s="1">
        <v>15</v>
      </c>
      <c r="F67" s="74" t="s">
        <v>119</v>
      </c>
      <c r="G67" s="1">
        <v>0.01</v>
      </c>
      <c r="H67" s="7"/>
      <c r="I67" s="1"/>
      <c r="J67" s="7"/>
      <c r="K67" s="1"/>
      <c r="L67" s="10"/>
      <c r="M67" s="10"/>
      <c r="N67" s="27"/>
    </row>
    <row r="68" spans="1:14" ht="15">
      <c r="A68" s="48"/>
      <c r="B68" s="6"/>
      <c r="C68" s="7" t="s">
        <v>371</v>
      </c>
      <c r="D68" s="7"/>
      <c r="E68" s="1"/>
      <c r="F68" s="10"/>
      <c r="G68" s="10"/>
      <c r="H68" s="10"/>
      <c r="I68" s="10"/>
      <c r="J68" s="10"/>
      <c r="K68" s="10"/>
      <c r="L68" s="10"/>
      <c r="M68" s="10"/>
      <c r="N68" s="27"/>
    </row>
    <row r="69" spans="1:14" ht="14.25">
      <c r="A69" s="4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27"/>
    </row>
    <row r="70" spans="1:14" ht="18.75">
      <c r="A70" s="48"/>
      <c r="B70" s="32" t="s">
        <v>97</v>
      </c>
      <c r="C70" s="32"/>
      <c r="D70" s="32"/>
      <c r="E70" s="72" t="s">
        <v>33</v>
      </c>
      <c r="F70" s="321" t="s">
        <v>33</v>
      </c>
      <c r="G70" s="75">
        <f>+(G52-E67)/SQRT(J52/D52)</f>
        <v>3.6254347082845535</v>
      </c>
      <c r="I70" s="7" t="s">
        <v>341</v>
      </c>
      <c r="J70" s="12">
        <f>-NORMSINV(G67)</f>
        <v>2.3263469999324347</v>
      </c>
      <c r="K70" s="10"/>
      <c r="L70" s="10"/>
      <c r="M70" s="10"/>
      <c r="N70" s="27"/>
    </row>
    <row r="71" spans="1:14" ht="19.5" customHeight="1">
      <c r="A71" s="48"/>
      <c r="B71" s="2"/>
      <c r="C71" s="2"/>
      <c r="D71" s="2"/>
      <c r="E71" s="2"/>
      <c r="F71" s="2"/>
      <c r="G71" s="2"/>
      <c r="H71" s="10"/>
      <c r="I71" s="10"/>
      <c r="J71" s="10"/>
      <c r="K71" s="10"/>
      <c r="L71" s="10"/>
      <c r="M71" s="10"/>
      <c r="N71" s="27"/>
    </row>
    <row r="72" spans="1:14" ht="13.5">
      <c r="A72" s="48"/>
      <c r="B72" s="10" t="s">
        <v>220</v>
      </c>
      <c r="C72" s="2"/>
      <c r="D72" s="2"/>
      <c r="E72" s="2"/>
      <c r="F72" s="2"/>
      <c r="G72" s="2"/>
      <c r="H72" s="10"/>
      <c r="I72" s="10"/>
      <c r="J72" s="10"/>
      <c r="K72" s="10"/>
      <c r="L72" s="10"/>
      <c r="M72" s="10"/>
      <c r="N72" s="27"/>
    </row>
    <row r="73" spans="1:14" ht="13.5">
      <c r="A73" s="48"/>
      <c r="B73" s="10"/>
      <c r="C73" s="2"/>
      <c r="D73" s="2"/>
      <c r="E73" s="2"/>
      <c r="F73" s="2"/>
      <c r="G73" s="2"/>
      <c r="H73" s="10"/>
      <c r="I73" s="10"/>
      <c r="J73" s="10"/>
      <c r="K73" s="10"/>
      <c r="L73" s="10"/>
      <c r="M73" s="10"/>
      <c r="N73" s="27"/>
    </row>
    <row r="74" spans="1:14" ht="14.25">
      <c r="A74" s="48"/>
      <c r="B74" s="10" t="s">
        <v>101</v>
      </c>
      <c r="C74" s="2"/>
      <c r="D74" s="2"/>
      <c r="E74" s="12"/>
      <c r="F74" s="2"/>
      <c r="G74" s="2"/>
      <c r="H74" s="10"/>
      <c r="I74" s="10"/>
      <c r="J74" s="10"/>
      <c r="K74" s="10"/>
      <c r="L74" s="10"/>
      <c r="M74" s="10"/>
      <c r="N74" s="27"/>
    </row>
    <row r="75" spans="1:14" ht="15" thickBot="1">
      <c r="A75" s="48"/>
      <c r="B75" s="10"/>
      <c r="C75" s="2"/>
      <c r="D75" s="2"/>
      <c r="E75" s="12"/>
      <c r="F75" s="2"/>
      <c r="G75" s="2"/>
      <c r="H75" s="10"/>
      <c r="I75" s="10"/>
      <c r="J75" s="10"/>
      <c r="K75" s="10"/>
      <c r="L75" s="10"/>
      <c r="M75" s="10"/>
      <c r="N75" s="27"/>
    </row>
    <row r="76" spans="1:14" ht="15" thickBot="1">
      <c r="A76" s="48"/>
      <c r="B76" s="2" t="s">
        <v>342</v>
      </c>
      <c r="C76" s="2"/>
      <c r="D76" s="2"/>
      <c r="E76" s="2"/>
      <c r="F76" s="2"/>
      <c r="H76" s="348" t="s">
        <v>121</v>
      </c>
      <c r="I76" s="349"/>
      <c r="J76" s="349"/>
      <c r="K76" s="350"/>
      <c r="N76" s="27"/>
    </row>
    <row r="77" spans="1:14" ht="13.5">
      <c r="A77" s="48"/>
      <c r="B77" s="2"/>
      <c r="C77" s="2"/>
      <c r="D77" s="2"/>
      <c r="E77" s="2"/>
      <c r="F77" s="2"/>
      <c r="K77" s="93"/>
      <c r="L77" s="10"/>
      <c r="M77" s="10"/>
      <c r="N77" s="27"/>
    </row>
    <row r="78" spans="1:14" ht="13.5">
      <c r="A78" s="48"/>
      <c r="B78" s="2"/>
      <c r="C78" s="2"/>
      <c r="D78" s="2"/>
      <c r="E78" s="2"/>
      <c r="F78" s="2"/>
      <c r="K78" s="93"/>
      <c r="L78" s="10"/>
      <c r="M78" s="10"/>
      <c r="N78" s="27"/>
    </row>
    <row r="79" spans="1:14" ht="14.25">
      <c r="A79" s="119" t="s">
        <v>31</v>
      </c>
      <c r="B79" s="32" t="s">
        <v>375</v>
      </c>
      <c r="C79" s="32"/>
      <c r="D79" s="32"/>
      <c r="E79" s="32"/>
      <c r="F79" s="32"/>
      <c r="G79" s="32"/>
      <c r="M79" s="32"/>
      <c r="N79" s="39"/>
    </row>
    <row r="80" spans="1:14" ht="14.25">
      <c r="A80" s="119"/>
      <c r="B80" s="2"/>
      <c r="C80" s="2"/>
      <c r="D80" s="2"/>
      <c r="E80" s="2"/>
      <c r="F80" s="2"/>
      <c r="G80" s="2"/>
      <c r="H80" s="72" t="s">
        <v>33</v>
      </c>
      <c r="I80" s="1">
        <f>183/250</f>
        <v>0.732</v>
      </c>
      <c r="J80" s="2"/>
      <c r="K80" s="2"/>
      <c r="L80" s="2"/>
      <c r="M80" s="2"/>
      <c r="N80" s="40"/>
    </row>
    <row r="81" spans="1:14" ht="14.25">
      <c r="A81" s="11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0"/>
    </row>
    <row r="82" spans="1:14" ht="6.75" customHeight="1">
      <c r="A82" s="11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0"/>
    </row>
    <row r="83" spans="1:14" ht="14.25">
      <c r="A83" s="11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0"/>
    </row>
    <row r="84" spans="1:14" ht="14.25">
      <c r="A84" s="119"/>
      <c r="B84" s="2" t="s">
        <v>103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40"/>
    </row>
    <row r="85" spans="1:14" ht="14.25">
      <c r="A85" s="119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0"/>
    </row>
    <row r="86" spans="1:14" ht="15" thickBot="1">
      <c r="A86" s="11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40"/>
    </row>
    <row r="87" spans="1:14" ht="15.75">
      <c r="A87" s="119"/>
      <c r="B87" s="74" t="s">
        <v>102</v>
      </c>
      <c r="C87" s="1">
        <v>0.1</v>
      </c>
      <c r="D87" s="2"/>
      <c r="E87" s="7" t="s">
        <v>165</v>
      </c>
      <c r="F87" s="3" t="s">
        <v>343</v>
      </c>
      <c r="G87" s="135">
        <f>-NORMSINV(0.05)</f>
        <v>1.6448534756699833</v>
      </c>
      <c r="H87" s="2"/>
      <c r="I87" s="2"/>
      <c r="J87" s="80" t="s">
        <v>167</v>
      </c>
      <c r="K87" s="91">
        <f>I80-G87*SQRT(I80*(1-I80)/250)</f>
        <v>0.685923429163213</v>
      </c>
      <c r="L87" s="2"/>
      <c r="M87" s="2"/>
      <c r="N87" s="40"/>
    </row>
    <row r="88" spans="1:14" ht="15" thickBot="1">
      <c r="A88" s="27"/>
      <c r="B88" s="10"/>
      <c r="C88" s="10"/>
      <c r="D88" s="10"/>
      <c r="E88" s="10"/>
      <c r="F88" s="132"/>
      <c r="G88" s="10"/>
      <c r="H88" s="10"/>
      <c r="I88" s="10"/>
      <c r="J88" s="82" t="s">
        <v>115</v>
      </c>
      <c r="K88" s="92">
        <f>I80+G87*SQRT(I80*(1-I80)/250)</f>
        <v>0.7780765708367869</v>
      </c>
      <c r="L88" s="10"/>
      <c r="M88" s="132"/>
      <c r="N88" s="27"/>
    </row>
    <row r="89" spans="1:14" ht="13.5">
      <c r="A89" s="27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27"/>
    </row>
    <row r="90" spans="1:14" ht="15">
      <c r="A90" s="119" t="s">
        <v>58</v>
      </c>
      <c r="B90" s="32" t="s">
        <v>381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9"/>
    </row>
    <row r="91" spans="1:14" ht="13.5">
      <c r="A91" s="119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9"/>
    </row>
    <row r="92" spans="1:14" ht="15">
      <c r="A92" s="119"/>
      <c r="B92" s="2"/>
      <c r="C92" s="7" t="s">
        <v>171</v>
      </c>
      <c r="D92" s="2"/>
      <c r="E92" s="73" t="s">
        <v>172</v>
      </c>
      <c r="F92" s="1">
        <v>0.75</v>
      </c>
      <c r="G92" s="10"/>
      <c r="H92" s="74" t="s">
        <v>102</v>
      </c>
      <c r="I92" s="1">
        <v>0.05</v>
      </c>
      <c r="J92" s="2"/>
      <c r="K92" s="2"/>
      <c r="L92" s="2"/>
      <c r="M92" s="2"/>
      <c r="N92" s="40"/>
    </row>
    <row r="93" spans="1:14" ht="15">
      <c r="A93" s="119"/>
      <c r="B93" s="2"/>
      <c r="C93" s="7" t="s">
        <v>328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40"/>
    </row>
    <row r="94" spans="1:14" ht="14.25">
      <c r="A94" s="119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40"/>
    </row>
    <row r="95" spans="1:14" ht="14.25">
      <c r="A95" s="137"/>
      <c r="B95" s="33" t="s">
        <v>97</v>
      </c>
      <c r="C95" s="138"/>
      <c r="D95" s="138"/>
      <c r="E95" s="138"/>
      <c r="F95" s="138"/>
      <c r="G95" s="138"/>
      <c r="H95" s="75">
        <f>(I80-0.75)/SQRT(F92*(1-F92)/250)</f>
        <v>-0.6572670690061999</v>
      </c>
      <c r="I95" s="138"/>
      <c r="J95" s="138"/>
      <c r="K95" s="138"/>
      <c r="L95" s="138"/>
      <c r="M95" s="138"/>
      <c r="N95" s="139"/>
    </row>
    <row r="96" spans="1:14" ht="14.25">
      <c r="A96" s="11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40"/>
    </row>
    <row r="97" spans="1:14" ht="14.25">
      <c r="A97" s="119"/>
      <c r="B97" s="2"/>
      <c r="C97" s="2"/>
      <c r="D97" s="2"/>
      <c r="E97" s="10"/>
      <c r="F97" s="2"/>
      <c r="G97" s="2"/>
      <c r="H97" s="2"/>
      <c r="I97" s="2"/>
      <c r="J97" s="2"/>
      <c r="K97" s="2"/>
      <c r="L97" s="2"/>
      <c r="M97" s="2"/>
      <c r="N97" s="40"/>
    </row>
    <row r="98" spans="1:14" ht="14.25">
      <c r="A98" s="119"/>
      <c r="B98" s="32"/>
      <c r="C98" s="32"/>
      <c r="D98" s="32"/>
      <c r="E98" s="32"/>
      <c r="F98" s="32"/>
      <c r="G98" s="32"/>
      <c r="H98" s="322">
        <f>2*NORMSDIST(-0.657)</f>
        <v>0.511180779406982</v>
      </c>
      <c r="I98" s="131"/>
      <c r="J98" s="136"/>
      <c r="K98" s="32"/>
      <c r="L98" s="32"/>
      <c r="M98" s="32"/>
      <c r="N98" s="39"/>
    </row>
    <row r="99" spans="1:14" ht="15" thickBot="1">
      <c r="A99" s="11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40"/>
    </row>
    <row r="100" spans="1:14" ht="16.5" thickBot="1">
      <c r="A100" s="119"/>
      <c r="B100" s="2" t="s">
        <v>372</v>
      </c>
      <c r="C100" s="2"/>
      <c r="D100" s="2"/>
      <c r="E100" s="2"/>
      <c r="F100" s="370" t="s">
        <v>337</v>
      </c>
      <c r="G100" s="336"/>
      <c r="H100" s="336"/>
      <c r="I100" s="371"/>
      <c r="M100" s="2"/>
      <c r="N100" s="40"/>
    </row>
    <row r="101" spans="1:14" ht="13.5">
      <c r="A101" s="119"/>
      <c r="B101" s="2"/>
      <c r="C101" s="2"/>
      <c r="D101" s="2"/>
      <c r="E101" s="2"/>
      <c r="F101" s="2"/>
      <c r="G101" s="2"/>
      <c r="H101" s="132"/>
      <c r="I101" s="132"/>
      <c r="J101" s="132"/>
      <c r="K101" s="2"/>
      <c r="L101" s="2"/>
      <c r="M101" s="2"/>
      <c r="N101" s="40"/>
    </row>
    <row r="102" spans="1:14" ht="15">
      <c r="A102" s="118" t="s">
        <v>83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27"/>
    </row>
    <row r="103" spans="1:14" ht="15" thickBot="1">
      <c r="A103" s="118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27"/>
    </row>
    <row r="104" spans="1:14" ht="13.5">
      <c r="A104" s="119"/>
      <c r="B104" s="2"/>
      <c r="C104" s="366"/>
      <c r="D104" s="334" t="s">
        <v>308</v>
      </c>
      <c r="E104" s="373"/>
      <c r="F104" s="374"/>
      <c r="G104" s="366" t="s">
        <v>22</v>
      </c>
      <c r="H104" s="2"/>
      <c r="I104" s="2"/>
      <c r="J104" s="2"/>
      <c r="K104" s="2"/>
      <c r="L104" s="2"/>
      <c r="M104" s="2"/>
      <c r="N104" s="40"/>
    </row>
    <row r="105" spans="1:14" ht="14.25" thickBot="1">
      <c r="A105" s="119"/>
      <c r="B105" s="2"/>
      <c r="C105" s="386"/>
      <c r="D105" s="323" t="s">
        <v>311</v>
      </c>
      <c r="E105" s="324" t="s">
        <v>312</v>
      </c>
      <c r="F105" s="325" t="s">
        <v>313</v>
      </c>
      <c r="G105" s="386"/>
      <c r="H105" s="2"/>
      <c r="I105" s="2"/>
      <c r="J105" s="2"/>
      <c r="K105" s="2"/>
      <c r="L105" s="2"/>
      <c r="M105" s="2"/>
      <c r="N105" s="119"/>
    </row>
    <row r="106" spans="1:14" ht="13.5">
      <c r="A106" s="119"/>
      <c r="B106" s="2"/>
      <c r="C106" s="288" t="s">
        <v>309</v>
      </c>
      <c r="D106" s="226">
        <v>35</v>
      </c>
      <c r="E106" s="227">
        <v>45</v>
      </c>
      <c r="F106" s="228">
        <v>18</v>
      </c>
      <c r="G106" s="288">
        <v>98</v>
      </c>
      <c r="H106" s="2"/>
      <c r="I106" s="2"/>
      <c r="J106" s="2"/>
      <c r="K106" s="2"/>
      <c r="L106" s="2"/>
      <c r="M106" s="2"/>
      <c r="N106" s="119"/>
    </row>
    <row r="107" spans="1:14" ht="14.25" thickBot="1">
      <c r="A107" s="119"/>
      <c r="B107" s="2"/>
      <c r="C107" s="326" t="s">
        <v>310</v>
      </c>
      <c r="D107" s="230">
        <v>21</v>
      </c>
      <c r="E107" s="231">
        <v>20</v>
      </c>
      <c r="F107" s="232">
        <v>38</v>
      </c>
      <c r="G107" s="326">
        <v>79</v>
      </c>
      <c r="H107" s="2"/>
      <c r="I107" s="2"/>
      <c r="J107" s="2"/>
      <c r="K107" s="2"/>
      <c r="L107" s="2"/>
      <c r="M107" s="2"/>
      <c r="N107" s="119"/>
    </row>
    <row r="108" spans="1:14" ht="14.25" thickBot="1">
      <c r="A108" s="119"/>
      <c r="B108" s="10"/>
      <c r="C108" s="326" t="s">
        <v>22</v>
      </c>
      <c r="D108" s="327">
        <v>56</v>
      </c>
      <c r="E108" s="328">
        <v>65</v>
      </c>
      <c r="F108" s="329">
        <v>56</v>
      </c>
      <c r="G108" s="326">
        <v>177</v>
      </c>
      <c r="H108" s="10"/>
      <c r="I108" s="10"/>
      <c r="J108" s="10"/>
      <c r="K108" s="10"/>
      <c r="L108" s="10"/>
      <c r="M108" s="10"/>
      <c r="N108" s="119"/>
    </row>
    <row r="109" spans="1:14" ht="13.5">
      <c r="A109" s="119"/>
      <c r="B109" s="10"/>
      <c r="C109" s="32"/>
      <c r="D109" s="296"/>
      <c r="E109" s="296"/>
      <c r="F109" s="296"/>
      <c r="G109" s="10"/>
      <c r="H109" s="10"/>
      <c r="I109" s="10"/>
      <c r="J109" s="10"/>
      <c r="K109" s="10"/>
      <c r="L109" s="10"/>
      <c r="M109" s="10"/>
      <c r="N109" s="119"/>
    </row>
    <row r="110" spans="1:14" ht="13.5">
      <c r="A110" s="119" t="s">
        <v>26</v>
      </c>
      <c r="B110" s="32" t="s">
        <v>382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119"/>
    </row>
    <row r="111" spans="1:14" ht="14.25">
      <c r="A111" s="119"/>
      <c r="B111" s="32" t="s">
        <v>329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119"/>
    </row>
    <row r="112" spans="1:14" ht="14.25">
      <c r="A112" s="119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119"/>
    </row>
    <row r="113" spans="1:14" ht="17.25">
      <c r="A113" s="119"/>
      <c r="B113" s="2"/>
      <c r="C113" s="7" t="s">
        <v>171</v>
      </c>
      <c r="D113" s="2"/>
      <c r="E113" s="73" t="s">
        <v>172</v>
      </c>
      <c r="F113" s="1">
        <v>0.5</v>
      </c>
      <c r="G113" s="10"/>
      <c r="H113" s="74" t="s">
        <v>102</v>
      </c>
      <c r="I113" s="1">
        <v>0.01</v>
      </c>
      <c r="J113" s="2"/>
      <c r="K113" s="72" t="s">
        <v>33</v>
      </c>
      <c r="L113" s="1">
        <f>41/79</f>
        <v>0.5189873417721519</v>
      </c>
      <c r="M113" s="2"/>
      <c r="N113" s="40"/>
    </row>
    <row r="114" spans="1:14" ht="17.25">
      <c r="A114" s="119"/>
      <c r="B114" s="2"/>
      <c r="C114" s="7" t="s">
        <v>250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40"/>
    </row>
    <row r="115" spans="1:14" ht="14.25">
      <c r="A115" s="11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40"/>
    </row>
    <row r="116" spans="1:14" ht="14.25">
      <c r="A116" s="137"/>
      <c r="B116" s="33" t="s">
        <v>97</v>
      </c>
      <c r="C116" s="138"/>
      <c r="D116" s="138"/>
      <c r="E116" s="138"/>
      <c r="F116" s="138"/>
      <c r="G116" s="138"/>
      <c r="H116" s="75">
        <f>+(L113-F113)/SQRT(F113*(1-F113)/79)</f>
        <v>0.33752637027780696</v>
      </c>
      <c r="I116" s="138"/>
      <c r="J116" s="138"/>
      <c r="K116" s="138"/>
      <c r="L116" s="138"/>
      <c r="M116" s="138"/>
      <c r="N116" s="139"/>
    </row>
    <row r="117" spans="1:14" ht="14.25">
      <c r="A117" s="119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40"/>
    </row>
    <row r="118" spans="1:14" ht="14.25">
      <c r="A118" s="119"/>
      <c r="B118" s="2"/>
      <c r="C118" s="2"/>
      <c r="D118" s="2"/>
      <c r="E118" s="10"/>
      <c r="F118" s="2"/>
      <c r="G118" s="2"/>
      <c r="H118" s="2"/>
      <c r="I118" s="2"/>
      <c r="J118" s="2"/>
      <c r="K118" s="2"/>
      <c r="L118" s="2"/>
      <c r="M118" s="2"/>
      <c r="N118" s="40"/>
    </row>
    <row r="119" spans="1:14" ht="17.25">
      <c r="A119" s="119"/>
      <c r="B119" s="32" t="s">
        <v>174</v>
      </c>
      <c r="C119" s="32"/>
      <c r="D119" s="32"/>
      <c r="E119" s="32"/>
      <c r="F119" s="32"/>
      <c r="G119" s="32"/>
      <c r="H119" s="72" t="s">
        <v>173</v>
      </c>
      <c r="I119" s="131" t="s">
        <v>135</v>
      </c>
      <c r="J119" s="136">
        <f>-NORMSINV(I113)</f>
        <v>2.3263469999324347</v>
      </c>
      <c r="K119" s="32"/>
      <c r="L119" s="32"/>
      <c r="M119" s="32"/>
      <c r="N119" s="39"/>
    </row>
    <row r="120" spans="1:14" ht="15" thickBot="1">
      <c r="A120" s="11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40"/>
    </row>
    <row r="121" spans="1:14" ht="16.5" thickBot="1">
      <c r="A121" s="119"/>
      <c r="B121" s="2" t="s">
        <v>373</v>
      </c>
      <c r="C121" s="2"/>
      <c r="D121" s="2"/>
      <c r="E121" s="2"/>
      <c r="F121" s="2"/>
      <c r="G121" s="2"/>
      <c r="H121" s="84" t="s">
        <v>330</v>
      </c>
      <c r="I121" s="85"/>
      <c r="J121" s="87"/>
      <c r="K121" s="2"/>
      <c r="L121" s="2"/>
      <c r="M121" s="2"/>
      <c r="N121" s="40"/>
    </row>
    <row r="122" spans="1:14" ht="13.5">
      <c r="A122" s="119"/>
      <c r="N122" s="119"/>
    </row>
    <row r="123" spans="1:14" ht="13.5">
      <c r="A123" s="119"/>
      <c r="N123" s="119"/>
    </row>
    <row r="124" spans="1:14" ht="14.25">
      <c r="A124" s="119" t="s">
        <v>27</v>
      </c>
      <c r="B124" s="32" t="s">
        <v>383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119"/>
    </row>
    <row r="125" spans="1:14" ht="14.25">
      <c r="A125" s="119"/>
      <c r="N125" s="119"/>
    </row>
    <row r="126" spans="1:14" ht="14.25">
      <c r="A126" s="119"/>
      <c r="B126" s="10" t="s">
        <v>346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19"/>
    </row>
    <row r="127" spans="1:14" ht="14.25">
      <c r="A127" s="11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19"/>
    </row>
    <row r="128" spans="1:14" ht="14.25">
      <c r="A128" s="11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9"/>
    </row>
    <row r="129" spans="1:14" ht="13.5">
      <c r="A129" s="119"/>
      <c r="B129" s="10" t="s">
        <v>347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9"/>
    </row>
    <row r="130" spans="1:14" ht="13.5">
      <c r="A130" s="119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19"/>
    </row>
    <row r="131" spans="1:14" ht="14.25">
      <c r="A131" s="119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9"/>
    </row>
    <row r="132" spans="1:14" ht="14.25">
      <c r="A132" s="119"/>
      <c r="B132" s="10" t="s">
        <v>344</v>
      </c>
      <c r="C132" s="10"/>
      <c r="D132" s="10"/>
      <c r="E132" s="10"/>
      <c r="F132" s="10"/>
      <c r="G132" s="10"/>
      <c r="H132" s="10" t="s">
        <v>332</v>
      </c>
      <c r="I132" s="10"/>
      <c r="J132" s="10"/>
      <c r="K132" s="10"/>
      <c r="L132" s="10"/>
      <c r="M132" s="10"/>
      <c r="N132" s="119"/>
    </row>
    <row r="133" spans="1:14" ht="14.25">
      <c r="A133" s="119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19"/>
    </row>
    <row r="134" spans="1:14" ht="13.5">
      <c r="A134" s="119"/>
      <c r="B134" s="10" t="s">
        <v>345</v>
      </c>
      <c r="C134" s="10"/>
      <c r="I134" s="10"/>
      <c r="J134" s="10"/>
      <c r="K134" s="10"/>
      <c r="L134" s="10"/>
      <c r="M134" s="10"/>
      <c r="N134" s="119"/>
    </row>
    <row r="135" spans="1:14" ht="14.25">
      <c r="A135" s="119"/>
      <c r="I135" s="10"/>
      <c r="J135" s="10"/>
      <c r="K135" s="10"/>
      <c r="L135" s="10"/>
      <c r="M135" s="10"/>
      <c r="N135" s="119"/>
    </row>
    <row r="136" spans="1:14" ht="15" thickBot="1">
      <c r="A136" s="119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19"/>
    </row>
    <row r="137" spans="1:14" ht="15" thickBot="1">
      <c r="A137" s="119"/>
      <c r="B137" s="10"/>
      <c r="C137" s="10"/>
      <c r="D137" s="10"/>
      <c r="E137" s="10"/>
      <c r="F137" s="10"/>
      <c r="G137" s="10"/>
      <c r="H137" s="348" t="s">
        <v>331</v>
      </c>
      <c r="I137" s="349"/>
      <c r="J137" s="349"/>
      <c r="K137" s="349"/>
      <c r="L137" s="349"/>
      <c r="M137" s="350"/>
      <c r="N137" s="119"/>
    </row>
    <row r="138" spans="1:14" ht="14.25">
      <c r="A138" s="119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9"/>
    </row>
    <row r="139" spans="1:14" ht="13.5">
      <c r="A139" s="119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19"/>
    </row>
    <row r="140" spans="1:14" ht="13.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</row>
  </sheetData>
  <sheetProtection/>
  <mergeCells count="20">
    <mergeCell ref="H137:M137"/>
    <mergeCell ref="B39:L39"/>
    <mergeCell ref="B44:L44"/>
    <mergeCell ref="C104:C105"/>
    <mergeCell ref="D104:F104"/>
    <mergeCell ref="G104:G105"/>
    <mergeCell ref="H76:K76"/>
    <mergeCell ref="F100:I100"/>
    <mergeCell ref="B6:L6"/>
    <mergeCell ref="A34:N34"/>
    <mergeCell ref="B9:L9"/>
    <mergeCell ref="B10:L10"/>
    <mergeCell ref="B11:L11"/>
    <mergeCell ref="C23:C24"/>
    <mergeCell ref="D23:F23"/>
    <mergeCell ref="G23:G24"/>
    <mergeCell ref="A1:N1"/>
    <mergeCell ref="B3:L3"/>
    <mergeCell ref="B4:L4"/>
    <mergeCell ref="B5:L5"/>
  </mergeCells>
  <printOptions horizontalCentered="1"/>
  <pageMargins left="0.31496062992125984" right="0.3937007874015748" top="0.46" bottom="0.43" header="0.31496062992125984" footer="0.31496062992125984"/>
  <pageSetup horizontalDpi="300" verticalDpi="300" orientation="portrait" paperSize="9" scale="73" r:id="rId20"/>
  <rowBreaks count="2" manualBreakCount="2">
    <brk id="33" max="13" man="1"/>
    <brk id="101" max="13" man="1"/>
  </rowBreaks>
  <drawing r:id="rId19"/>
  <legacyDrawing r:id="rId18"/>
  <oleObjects>
    <oleObject progId="Equation.3" shapeId="1390512" r:id="rId1"/>
    <oleObject progId="Equation.3" shapeId="1465880" r:id="rId2"/>
    <oleObject progId="Equation.3" shapeId="1465882" r:id="rId3"/>
    <oleObject progId="Equation.3" shapeId="1465883" r:id="rId4"/>
    <oleObject progId="Equation.3" shapeId="1465885" r:id="rId5"/>
    <oleObject progId="Equation.3" shapeId="1527652" r:id="rId6"/>
    <oleObject progId="Equation.3" shapeId="1563246" r:id="rId7"/>
    <oleObject progId="Equation.3" shapeId="1644901" r:id="rId8"/>
    <oleObject progId="Equation.3" shapeId="1652263" r:id="rId9"/>
    <oleObject progId="Equation.3" shapeId="1694467" r:id="rId10"/>
    <oleObject progId="Equation.3" shapeId="310125" r:id="rId11"/>
    <oleObject progId="Equation.3" shapeId="369887" r:id="rId12"/>
    <oleObject progId="Equation.3" shapeId="370184" r:id="rId13"/>
    <oleObject progId="Equation.3" shapeId="374636" r:id="rId14"/>
    <oleObject progId="Equation.3" shapeId="379275" r:id="rId15"/>
    <oleObject progId="Equation.3" shapeId="408853" r:id="rId16"/>
    <oleObject progId="Equation.3" shapeId="548373" r:id="rId1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2009-05-25T10:48:01Z</cp:lastPrinted>
  <dcterms:created xsi:type="dcterms:W3CDTF">1996-11-05T10:16:36Z</dcterms:created>
  <dcterms:modified xsi:type="dcterms:W3CDTF">2009-06-03T13:18:20Z</dcterms:modified>
  <cp:category/>
  <cp:version/>
  <cp:contentType/>
  <cp:contentStatus/>
</cp:coreProperties>
</file>